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N:\obligation\Share\229\Ashxatanqain\Ջանջուղազյան և Զարգարյան\Հրապարակման\2025\"/>
    </mc:Choice>
  </mc:AlternateContent>
  <bookViews>
    <workbookView xWindow="0" yWindow="0" windowWidth="28800" windowHeight="12330" activeTab="2"/>
  </bookViews>
  <sheets>
    <sheet name="բյուջետային երաշխիք" sheetId="3" r:id="rId1"/>
    <sheet name="Government Guarantees" sheetId="20" r:id="rId2"/>
    <sheet name="hուլիս" sheetId="44" r:id="rId3"/>
    <sheet name="հունիս" sheetId="43" r:id="rId4"/>
  </sheets>
  <externalReferences>
    <externalReference r:id="rId5"/>
    <externalReference r:id="rId6"/>
  </externalReferences>
  <definedNames>
    <definedName name="_xlnm._FilterDatabase" localSheetId="2" hidden="1">hուլիս!$A$4:$AIX$157</definedName>
    <definedName name="_xlnm._FilterDatabase" localSheetId="3" hidden="1">հունիս!$A$4:$AIX$157</definedName>
    <definedName name="A4563g">#REF!</definedName>
    <definedName name="aaa" localSheetId="2">#REF!</definedName>
    <definedName name="aaa" localSheetId="3">#REF!</definedName>
    <definedName name="aaa">#REF!</definedName>
    <definedName name="aaaa" localSheetId="2">#REF!</definedName>
    <definedName name="aaaa" localSheetId="3">#REF!</definedName>
    <definedName name="aaaa">#REF!</definedName>
    <definedName name="Aghh">#REF!</definedName>
    <definedName name="ap8il1" localSheetId="2">#REF!</definedName>
    <definedName name="ap8il1" localSheetId="3">#REF!</definedName>
    <definedName name="ap8il1">#REF!</definedName>
    <definedName name="april" localSheetId="2">#REF!</definedName>
    <definedName name="april" localSheetId="3">#REF!</definedName>
    <definedName name="april">#REF!</definedName>
    <definedName name="fgd" localSheetId="2">#REF!</definedName>
    <definedName name="fgd" localSheetId="3">#REF!</definedName>
    <definedName name="fgd">#REF!</definedName>
    <definedName name="fhyj" localSheetId="2">#REF!</definedName>
    <definedName name="fhyj" localSheetId="3">#REF!</definedName>
    <definedName name="fhyj">#REF!</definedName>
    <definedName name="fhyj1" localSheetId="2">#REF!</definedName>
    <definedName name="fhyj1" localSheetId="3">#REF!</definedName>
    <definedName name="fhyj1">#REF!</definedName>
    <definedName name="ggg" localSheetId="2">#REF!</definedName>
    <definedName name="ggg" localSheetId="3">#REF!</definedName>
    <definedName name="ggg">#REF!</definedName>
    <definedName name="hjf" localSheetId="2">#REF!</definedName>
    <definedName name="hjf" localSheetId="3">#REF!</definedName>
    <definedName name="hjf">#REF!</definedName>
    <definedName name="Hulios1" localSheetId="2">#REF!</definedName>
    <definedName name="Hulios1" localSheetId="3">#REF!</definedName>
    <definedName name="Hulios1">#REF!</definedName>
    <definedName name="hulis" localSheetId="2">#REF!</definedName>
    <definedName name="hulis" localSheetId="3">#REF!</definedName>
    <definedName name="hulis">#REF!</definedName>
    <definedName name="hunvar" localSheetId="2">#REF!</definedName>
    <definedName name="hunvar" localSheetId="3">#REF!</definedName>
    <definedName name="hunvar">#REF!</definedName>
    <definedName name="kkk" localSheetId="2">#REF!</definedName>
    <definedName name="kkk" localSheetId="3">#REF!</definedName>
    <definedName name="kkk">#REF!</definedName>
    <definedName name="Lus" localSheetId="2">#REF!</definedName>
    <definedName name="Lus" localSheetId="3">#REF!</definedName>
    <definedName name="Lus">#REF!</definedName>
    <definedName name="Lusine" localSheetId="2">#REF!</definedName>
    <definedName name="Lusine" localSheetId="3">#REF!</definedName>
    <definedName name="Lusine">#REF!</definedName>
    <definedName name="Lusine1" localSheetId="2">#REF!</definedName>
    <definedName name="Lusine1" localSheetId="3">#REF!</definedName>
    <definedName name="Lusine1">#REF!</definedName>
    <definedName name="petrvar" localSheetId="2">#REF!</definedName>
    <definedName name="petrvar" localSheetId="3">#REF!</definedName>
    <definedName name="petrvar">#REF!</definedName>
    <definedName name="print" localSheetId="1">#REF!</definedName>
    <definedName name="print">#REF!</definedName>
    <definedName name="rrr" localSheetId="2">#REF!</definedName>
    <definedName name="rrr" localSheetId="3">#REF!</definedName>
    <definedName name="rrr">#REF!</definedName>
    <definedName name="Table1" localSheetId="2">#REF!</definedName>
    <definedName name="Table1" localSheetId="3">#REF!</definedName>
    <definedName name="Table1">#REF!</definedName>
    <definedName name="Table2" localSheetId="2">#REF!</definedName>
    <definedName name="Table2" localSheetId="3">#REF!</definedName>
    <definedName name="Table2">#REF!</definedName>
    <definedName name="uuu" localSheetId="2">#REF!</definedName>
    <definedName name="uuu" localSheetId="3">#REF!</definedName>
    <definedName name="uuu">#REF!</definedName>
    <definedName name="vff" localSheetId="2">#REF!</definedName>
    <definedName name="vff" localSheetId="3">#REF!</definedName>
    <definedName name="vff">#REF!</definedName>
    <definedName name="vlom" localSheetId="1">[1]VTB!#REF!</definedName>
    <definedName name="vlom">[1]VTB!#REF!</definedName>
    <definedName name="ամառ" localSheetId="2">#REF!</definedName>
    <definedName name="ամառ" localSheetId="3">#REF!</definedName>
    <definedName name="ամառ">#REF!</definedName>
    <definedName name="ապրիլ" localSheetId="2">#REF!</definedName>
    <definedName name="ապրիլ" localSheetId="3">#REF!</definedName>
    <definedName name="ապրիլ">#REF!</definedName>
    <definedName name="եեեե" localSheetId="2">#REF!</definedName>
    <definedName name="եեեե" localSheetId="3">#REF!</definedName>
    <definedName name="եեեե">#REF!</definedName>
    <definedName name="լուսինե" localSheetId="2">#REF!</definedName>
    <definedName name="լուսինե" localSheetId="3">#REF!</definedName>
    <definedName name="լուսինե">#REF!</definedName>
    <definedName name="հդհդհ" localSheetId="2">#REF!</definedName>
    <definedName name="հդհդհ" localSheetId="3">#REF!</definedName>
    <definedName name="հդհդհ">#REF!</definedName>
    <definedName name="հուլիս" localSheetId="2">#REF!</definedName>
    <definedName name="հուլիս" localSheetId="3">#REF!</definedName>
    <definedName name="հուլիս">#REF!</definedName>
    <definedName name="հունիս" localSheetId="2">#REF!</definedName>
    <definedName name="հունիս" localSheetId="3">#REF!</definedName>
    <definedName name="հունիս">#REF!</definedName>
    <definedName name="հֆգյֆ" localSheetId="2">#REF!</definedName>
    <definedName name="հֆգյֆ" localSheetId="3">#REF!</definedName>
    <definedName name="հֆգյֆ">#REF!</definedName>
    <definedName name="ձմեռ" localSheetId="2">#REF!</definedName>
    <definedName name="ձմեռ" localSheetId="3">#REF!</definedName>
    <definedName name="ձմեռ">#REF!</definedName>
    <definedName name="յգհյհ">#REF!</definedName>
    <definedName name="նոյեմբեր4" localSheetId="2">#REF!</definedName>
    <definedName name="նոյեմբեր4" localSheetId="3">#REF!</definedName>
    <definedName name="նոյեմբեր4">#REF!</definedName>
    <definedName name="սեպտեմբեր" localSheetId="2">#REF!</definedName>
    <definedName name="սեպտեմբեր" localSheetId="3">#REF!</definedName>
    <definedName name="սեպտեմբեր">#REF!</definedName>
    <definedName name="օգոտոս" localSheetId="2">#REF!</definedName>
    <definedName name="օգոտոս" localSheetId="3">#REF!</definedName>
    <definedName name="օգոտոս">#REF!</definedName>
    <definedName name="օգօստօս" localSheetId="2">#REF!</definedName>
    <definedName name="օգօստօս" localSheetId="3">#REF!</definedName>
    <definedName name="օգօստօս">#REF!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2" i="44" l="1"/>
  <c r="K152" i="44"/>
  <c r="M151" i="44"/>
  <c r="M150" i="44"/>
  <c r="M149" i="44"/>
  <c r="M148" i="44"/>
  <c r="M147" i="44"/>
  <c r="K146" i="44"/>
  <c r="K145" i="44"/>
  <c r="N143" i="44"/>
  <c r="K143" i="44"/>
  <c r="P142" i="44"/>
  <c r="P141" i="44"/>
  <c r="O141" i="44"/>
  <c r="O140" i="44"/>
  <c r="N140" i="44"/>
  <c r="P140" i="44" s="1"/>
  <c r="O139" i="44"/>
  <c r="N139" i="44"/>
  <c r="P139" i="44" s="1"/>
  <c r="P138" i="44"/>
  <c r="O138" i="44"/>
  <c r="P137" i="44"/>
  <c r="O137" i="44"/>
  <c r="O136" i="44"/>
  <c r="N136" i="44"/>
  <c r="P136" i="44" s="1"/>
  <c r="O135" i="44"/>
  <c r="P135" i="44" s="1"/>
  <c r="N135" i="44"/>
  <c r="O134" i="44"/>
  <c r="L134" i="44"/>
  <c r="P134" i="44" s="1"/>
  <c r="P133" i="44"/>
  <c r="O133" i="44"/>
  <c r="O132" i="44"/>
  <c r="N132" i="44"/>
  <c r="L132" i="44"/>
  <c r="K132" i="44"/>
  <c r="O131" i="44"/>
  <c r="N131" i="44"/>
  <c r="P131" i="44" s="1"/>
  <c r="P130" i="44"/>
  <c r="O130" i="44"/>
  <c r="O129" i="44"/>
  <c r="N129" i="44"/>
  <c r="L129" i="44"/>
  <c r="P128" i="44"/>
  <c r="O128" i="44"/>
  <c r="P127" i="44"/>
  <c r="O127" i="44"/>
  <c r="P126" i="44"/>
  <c r="L125" i="44"/>
  <c r="K125" i="44"/>
  <c r="P124" i="44"/>
  <c r="O124" i="44"/>
  <c r="N124" i="44"/>
  <c r="P123" i="44"/>
  <c r="O122" i="44"/>
  <c r="N122" i="44"/>
  <c r="P122" i="44" s="1"/>
  <c r="P121" i="44"/>
  <c r="P146" i="44" s="1"/>
  <c r="O121" i="44"/>
  <c r="O146" i="44" s="1"/>
  <c r="N121" i="44"/>
  <c r="N146" i="44" s="1"/>
  <c r="L121" i="44"/>
  <c r="L146" i="44" s="1"/>
  <c r="K121" i="44"/>
  <c r="P120" i="44"/>
  <c r="P145" i="44" s="1"/>
  <c r="O120" i="44"/>
  <c r="O145" i="44" s="1"/>
  <c r="N120" i="44"/>
  <c r="N145" i="44" s="1"/>
  <c r="L120" i="44"/>
  <c r="L145" i="44" s="1"/>
  <c r="K120" i="44"/>
  <c r="P118" i="44"/>
  <c r="P143" i="44" s="1"/>
  <c r="O118" i="44"/>
  <c r="O143" i="44" s="1"/>
  <c r="N118" i="44"/>
  <c r="L118" i="44"/>
  <c r="L143" i="44" s="1"/>
  <c r="K118" i="44"/>
  <c r="O117" i="44"/>
  <c r="N117" i="44"/>
  <c r="L117" i="44"/>
  <c r="L119" i="44" s="1"/>
  <c r="K117" i="44"/>
  <c r="P116" i="44"/>
  <c r="P115" i="44"/>
  <c r="O115" i="44"/>
  <c r="P114" i="44"/>
  <c r="O114" i="44"/>
  <c r="P113" i="44"/>
  <c r="O113" i="44"/>
  <c r="N112" i="44"/>
  <c r="K112" i="44"/>
  <c r="P111" i="44"/>
  <c r="O111" i="44"/>
  <c r="N111" i="44"/>
  <c r="L111" i="44"/>
  <c r="K111" i="44"/>
  <c r="L110" i="44"/>
  <c r="K110" i="44"/>
  <c r="P107" i="44"/>
  <c r="O107" i="44"/>
  <c r="O106" i="44"/>
  <c r="N106" i="44"/>
  <c r="P106" i="44" s="1"/>
  <c r="O105" i="44"/>
  <c r="N105" i="44"/>
  <c r="P105" i="44" s="1"/>
  <c r="P104" i="44"/>
  <c r="O103" i="44"/>
  <c r="N103" i="44"/>
  <c r="P103" i="44" s="1"/>
  <c r="P102" i="44"/>
  <c r="N101" i="44"/>
  <c r="P101" i="44" s="1"/>
  <c r="P100" i="44"/>
  <c r="P99" i="44"/>
  <c r="P98" i="44"/>
  <c r="O96" i="44"/>
  <c r="K96" i="44"/>
  <c r="K108" i="44" s="1"/>
  <c r="O95" i="44"/>
  <c r="N95" i="44"/>
  <c r="P95" i="44" s="1"/>
  <c r="P94" i="44"/>
  <c r="O94" i="44"/>
  <c r="O93" i="44"/>
  <c r="N93" i="44"/>
  <c r="P93" i="44" s="1"/>
  <c r="O92" i="44"/>
  <c r="N92" i="44"/>
  <c r="P92" i="44" s="1"/>
  <c r="O91" i="44"/>
  <c r="N91" i="44"/>
  <c r="P91" i="44" s="1"/>
  <c r="O90" i="44"/>
  <c r="N90" i="44"/>
  <c r="P90" i="44" s="1"/>
  <c r="O89" i="44"/>
  <c r="N89" i="44"/>
  <c r="P89" i="44" s="1"/>
  <c r="L88" i="44"/>
  <c r="P88" i="44" s="1"/>
  <c r="P87" i="44"/>
  <c r="P86" i="44"/>
  <c r="P85" i="44"/>
  <c r="P84" i="44"/>
  <c r="O83" i="44"/>
  <c r="N83" i="44"/>
  <c r="P83" i="44" s="1"/>
  <c r="O82" i="44"/>
  <c r="N82" i="44"/>
  <c r="P82" i="44" s="1"/>
  <c r="L81" i="44"/>
  <c r="P81" i="44" s="1"/>
  <c r="K81" i="44"/>
  <c r="P80" i="44"/>
  <c r="P79" i="44"/>
  <c r="O78" i="44"/>
  <c r="N78" i="44"/>
  <c r="N108" i="44" s="1"/>
  <c r="O77" i="44"/>
  <c r="N77" i="44"/>
  <c r="P76" i="44"/>
  <c r="O76" i="44"/>
  <c r="N76" i="44"/>
  <c r="L76" i="44"/>
  <c r="K76" i="44"/>
  <c r="L75" i="44"/>
  <c r="K75" i="44"/>
  <c r="L74" i="44"/>
  <c r="K74" i="44"/>
  <c r="L73" i="44"/>
  <c r="K73" i="44"/>
  <c r="O72" i="44"/>
  <c r="N72" i="44"/>
  <c r="P72" i="44" s="1"/>
  <c r="O71" i="44"/>
  <c r="N71" i="44"/>
  <c r="P71" i="44" s="1"/>
  <c r="O70" i="44"/>
  <c r="N70" i="44"/>
  <c r="P70" i="44" s="1"/>
  <c r="O69" i="44"/>
  <c r="N69" i="44"/>
  <c r="P69" i="44" s="1"/>
  <c r="O68" i="44"/>
  <c r="O73" i="44" s="1"/>
  <c r="N68" i="44"/>
  <c r="N73" i="44" s="1"/>
  <c r="P67" i="44"/>
  <c r="O66" i="44"/>
  <c r="N66" i="44"/>
  <c r="N74" i="44" s="1"/>
  <c r="P65" i="44"/>
  <c r="O65" i="44"/>
  <c r="N65" i="44"/>
  <c r="L65" i="44"/>
  <c r="K65" i="44"/>
  <c r="P64" i="44"/>
  <c r="O64" i="44"/>
  <c r="N64" i="44"/>
  <c r="L64" i="44"/>
  <c r="K64" i="44"/>
  <c r="L63" i="44"/>
  <c r="K63" i="44"/>
  <c r="K62" i="44"/>
  <c r="O61" i="44"/>
  <c r="N61" i="44"/>
  <c r="P61" i="44" s="1"/>
  <c r="P60" i="44"/>
  <c r="O60" i="44"/>
  <c r="N60" i="44"/>
  <c r="L60" i="44"/>
  <c r="L62" i="44" s="1"/>
  <c r="P59" i="44"/>
  <c r="N59" i="44"/>
  <c r="O58" i="44"/>
  <c r="O63" i="44" s="1"/>
  <c r="N58" i="44"/>
  <c r="O57" i="44"/>
  <c r="N57" i="44"/>
  <c r="P57" i="44" s="1"/>
  <c r="N56" i="44"/>
  <c r="L55" i="44"/>
  <c r="L151" i="44" s="1"/>
  <c r="K55" i="44"/>
  <c r="K151" i="44" s="1"/>
  <c r="L54" i="44"/>
  <c r="K54" i="44"/>
  <c r="L53" i="44"/>
  <c r="K51" i="44"/>
  <c r="P50" i="44"/>
  <c r="O50" i="44"/>
  <c r="P49" i="44"/>
  <c r="O49" i="44"/>
  <c r="O48" i="44"/>
  <c r="N48" i="44"/>
  <c r="L48" i="44"/>
  <c r="P47" i="44"/>
  <c r="O47" i="44"/>
  <c r="N47" i="44"/>
  <c r="P46" i="44"/>
  <c r="O46" i="44"/>
  <c r="O45" i="44"/>
  <c r="N45" i="44"/>
  <c r="P45" i="44" s="1"/>
  <c r="O44" i="44"/>
  <c r="N44" i="44"/>
  <c r="P44" i="44" s="1"/>
  <c r="O43" i="44"/>
  <c r="N43" i="44"/>
  <c r="P43" i="44" s="1"/>
  <c r="P42" i="44"/>
  <c r="L41" i="44"/>
  <c r="O40" i="44"/>
  <c r="N40" i="44"/>
  <c r="P40" i="44" s="1"/>
  <c r="O39" i="44"/>
  <c r="N39" i="44"/>
  <c r="P39" i="44" s="1"/>
  <c r="P38" i="44"/>
  <c r="O38" i="44"/>
  <c r="O37" i="44"/>
  <c r="N37" i="44"/>
  <c r="P37" i="44" s="1"/>
  <c r="O36" i="44"/>
  <c r="N36" i="44"/>
  <c r="P36" i="44" s="1"/>
  <c r="P35" i="44"/>
  <c r="O35" i="44"/>
  <c r="P34" i="44"/>
  <c r="O34" i="44"/>
  <c r="N34" i="44"/>
  <c r="P33" i="44"/>
  <c r="O33" i="44"/>
  <c r="N33" i="44"/>
  <c r="O32" i="44"/>
  <c r="N32" i="44"/>
  <c r="P32" i="44" s="1"/>
  <c r="O31" i="44"/>
  <c r="O54" i="44" s="1"/>
  <c r="N31" i="44"/>
  <c r="O30" i="44"/>
  <c r="N30" i="44"/>
  <c r="P30" i="44" s="1"/>
  <c r="O29" i="44"/>
  <c r="N29" i="44"/>
  <c r="P29" i="44" s="1"/>
  <c r="O28" i="44"/>
  <c r="N28" i="44"/>
  <c r="P28" i="44" s="1"/>
  <c r="O27" i="44"/>
  <c r="N27" i="44"/>
  <c r="P27" i="44" s="1"/>
  <c r="O26" i="44"/>
  <c r="N26" i="44"/>
  <c r="P26" i="44" s="1"/>
  <c r="O25" i="44"/>
  <c r="N25" i="44"/>
  <c r="P25" i="44" s="1"/>
  <c r="P55" i="44" s="1"/>
  <c r="P151" i="44" s="1"/>
  <c r="P24" i="44"/>
  <c r="P23" i="44"/>
  <c r="O23" i="44"/>
  <c r="P22" i="44"/>
  <c r="O22" i="44"/>
  <c r="P21" i="44"/>
  <c r="O21" i="44"/>
  <c r="P20" i="44"/>
  <c r="O20" i="44"/>
  <c r="K20" i="44"/>
  <c r="P19" i="44"/>
  <c r="O19" i="44"/>
  <c r="K19" i="44"/>
  <c r="O18" i="44"/>
  <c r="N18" i="44"/>
  <c r="P18" i="44" s="1"/>
  <c r="O17" i="44"/>
  <c r="N17" i="44"/>
  <c r="P17" i="44" s="1"/>
  <c r="K17" i="44"/>
  <c r="O16" i="44"/>
  <c r="N16" i="44"/>
  <c r="P16" i="44" s="1"/>
  <c r="O15" i="44"/>
  <c r="N15" i="44"/>
  <c r="K15" i="44"/>
  <c r="P14" i="44"/>
  <c r="P13" i="44"/>
  <c r="O13" i="44"/>
  <c r="P12" i="44"/>
  <c r="P11" i="44"/>
  <c r="P10" i="44"/>
  <c r="O10" i="44"/>
  <c r="K10" i="44"/>
  <c r="O9" i="44"/>
  <c r="N9" i="44"/>
  <c r="P9" i="44" s="1"/>
  <c r="P8" i="44"/>
  <c r="O8" i="44"/>
  <c r="O7" i="44"/>
  <c r="N7" i="44"/>
  <c r="P7" i="44" s="1"/>
  <c r="O6" i="44"/>
  <c r="N6" i="44"/>
  <c r="P6" i="44" s="1"/>
  <c r="O5" i="44"/>
  <c r="N5" i="44"/>
  <c r="L5" i="44"/>
  <c r="L51" i="44" s="1"/>
  <c r="L149" i="44" l="1"/>
  <c r="O150" i="44"/>
  <c r="O52" i="44"/>
  <c r="O74" i="44"/>
  <c r="P68" i="44"/>
  <c r="P73" i="44" s="1"/>
  <c r="N119" i="44"/>
  <c r="P129" i="44"/>
  <c r="P132" i="44"/>
  <c r="P5" i="44"/>
  <c r="O119" i="44"/>
  <c r="K144" i="44"/>
  <c r="P51" i="44"/>
  <c r="N110" i="44"/>
  <c r="P48" i="44"/>
  <c r="P78" i="44"/>
  <c r="P108" i="44" s="1"/>
  <c r="P117" i="44"/>
  <c r="P119" i="44" s="1"/>
  <c r="O75" i="44"/>
  <c r="P77" i="44"/>
  <c r="O62" i="44"/>
  <c r="O110" i="44"/>
  <c r="P112" i="44"/>
  <c r="O55" i="44"/>
  <c r="O151" i="44" s="1"/>
  <c r="P66" i="44"/>
  <c r="P74" i="44" s="1"/>
  <c r="O108" i="44"/>
  <c r="L96" i="44"/>
  <c r="P96" i="44" s="1"/>
  <c r="K109" i="44"/>
  <c r="L144" i="44"/>
  <c r="N52" i="44"/>
  <c r="K147" i="44"/>
  <c r="K52" i="44"/>
  <c r="P15" i="44"/>
  <c r="N53" i="44"/>
  <c r="P110" i="44"/>
  <c r="N51" i="44"/>
  <c r="K53" i="44"/>
  <c r="K149" i="44" s="1"/>
  <c r="K150" i="44"/>
  <c r="N63" i="44"/>
  <c r="N109" i="44"/>
  <c r="P109" i="44"/>
  <c r="O144" i="44"/>
  <c r="N144" i="44"/>
  <c r="O53" i="44"/>
  <c r="L52" i="44"/>
  <c r="P41" i="44"/>
  <c r="N62" i="44"/>
  <c r="P56" i="44"/>
  <c r="P75" i="44"/>
  <c r="O51" i="44"/>
  <c r="N54" i="44"/>
  <c r="N150" i="44" s="1"/>
  <c r="P31" i="44"/>
  <c r="L150" i="44"/>
  <c r="N55" i="44"/>
  <c r="N151" i="44" s="1"/>
  <c r="N75" i="44"/>
  <c r="O109" i="44"/>
  <c r="O148" i="44" s="1"/>
  <c r="L108" i="44"/>
  <c r="L147" i="44" s="1"/>
  <c r="L109" i="44"/>
  <c r="K119" i="44"/>
  <c r="P125" i="44"/>
  <c r="P152" i="44"/>
  <c r="P58" i="44"/>
  <c r="E23" i="3"/>
  <c r="O149" i="44" l="1"/>
  <c r="P144" i="44"/>
  <c r="O147" i="44"/>
  <c r="N148" i="44"/>
  <c r="K148" i="44"/>
  <c r="P62" i="44"/>
  <c r="P147" i="44" s="1"/>
  <c r="N149" i="44"/>
  <c r="P54" i="44"/>
  <c r="P150" i="44" s="1"/>
  <c r="P52" i="44"/>
  <c r="P53" i="44"/>
  <c r="P149" i="44" s="1"/>
  <c r="P63" i="44"/>
  <c r="L148" i="44"/>
  <c r="N147" i="44"/>
  <c r="L152" i="43"/>
  <c r="K152" i="43"/>
  <c r="M151" i="43"/>
  <c r="M150" i="43"/>
  <c r="M149" i="43"/>
  <c r="M148" i="43"/>
  <c r="M147" i="43"/>
  <c r="K146" i="43"/>
  <c r="K145" i="43"/>
  <c r="N143" i="43"/>
  <c r="K143" i="43"/>
  <c r="P142" i="43"/>
  <c r="P141" i="43"/>
  <c r="O141" i="43"/>
  <c r="O140" i="43"/>
  <c r="N140" i="43"/>
  <c r="P140" i="43" s="1"/>
  <c r="P139" i="43"/>
  <c r="O139" i="43"/>
  <c r="P138" i="43"/>
  <c r="O138" i="43"/>
  <c r="P137" i="43"/>
  <c r="O137" i="43"/>
  <c r="O136" i="43"/>
  <c r="N136" i="43"/>
  <c r="P136" i="43" s="1"/>
  <c r="O135" i="43"/>
  <c r="P135" i="43" s="1"/>
  <c r="N135" i="43"/>
  <c r="O134" i="43"/>
  <c r="L134" i="43"/>
  <c r="P134" i="43" s="1"/>
  <c r="P133" i="43"/>
  <c r="O133" i="43"/>
  <c r="O132" i="43"/>
  <c r="N132" i="43"/>
  <c r="L132" i="43"/>
  <c r="K132" i="43"/>
  <c r="O131" i="43"/>
  <c r="N131" i="43"/>
  <c r="P131" i="43" s="1"/>
  <c r="P130" i="43"/>
  <c r="O130" i="43"/>
  <c r="O129" i="43"/>
  <c r="N129" i="43"/>
  <c r="L129" i="43"/>
  <c r="P128" i="43"/>
  <c r="O128" i="43"/>
  <c r="P127" i="43"/>
  <c r="O127" i="43"/>
  <c r="P126" i="43"/>
  <c r="L125" i="43"/>
  <c r="K125" i="43"/>
  <c r="O124" i="43"/>
  <c r="N124" i="43"/>
  <c r="P124" i="43" s="1"/>
  <c r="P123" i="43"/>
  <c r="O122" i="43"/>
  <c r="N122" i="43"/>
  <c r="P122" i="43" s="1"/>
  <c r="P121" i="43"/>
  <c r="P146" i="43" s="1"/>
  <c r="O121" i="43"/>
  <c r="O146" i="43" s="1"/>
  <c r="N121" i="43"/>
  <c r="N146" i="43" s="1"/>
  <c r="L121" i="43"/>
  <c r="L146" i="43" s="1"/>
  <c r="K121" i="43"/>
  <c r="P120" i="43"/>
  <c r="P145" i="43" s="1"/>
  <c r="O120" i="43"/>
  <c r="O145" i="43" s="1"/>
  <c r="N120" i="43"/>
  <c r="N145" i="43" s="1"/>
  <c r="L120" i="43"/>
  <c r="L145" i="43" s="1"/>
  <c r="K120" i="43"/>
  <c r="P118" i="43"/>
  <c r="P143" i="43" s="1"/>
  <c r="O118" i="43"/>
  <c r="O143" i="43" s="1"/>
  <c r="N118" i="43"/>
  <c r="L118" i="43"/>
  <c r="L143" i="43" s="1"/>
  <c r="K118" i="43"/>
  <c r="O117" i="43"/>
  <c r="N117" i="43"/>
  <c r="L117" i="43"/>
  <c r="K117" i="43"/>
  <c r="P116" i="43"/>
  <c r="P115" i="43"/>
  <c r="O115" i="43"/>
  <c r="P114" i="43"/>
  <c r="O114" i="43"/>
  <c r="P113" i="43"/>
  <c r="O113" i="43"/>
  <c r="N112" i="43"/>
  <c r="P112" i="43" s="1"/>
  <c r="K112" i="43"/>
  <c r="P111" i="43"/>
  <c r="O111" i="43"/>
  <c r="N111" i="43"/>
  <c r="L111" i="43"/>
  <c r="K111" i="43"/>
  <c r="L110" i="43"/>
  <c r="K110" i="43"/>
  <c r="P107" i="43"/>
  <c r="O107" i="43"/>
  <c r="O106" i="43"/>
  <c r="N106" i="43"/>
  <c r="P106" i="43" s="1"/>
  <c r="O105" i="43"/>
  <c r="N105" i="43"/>
  <c r="P105" i="43" s="1"/>
  <c r="P104" i="43"/>
  <c r="O103" i="43"/>
  <c r="N103" i="43"/>
  <c r="P103" i="43" s="1"/>
  <c r="P102" i="43"/>
  <c r="N101" i="43"/>
  <c r="P101" i="43" s="1"/>
  <c r="P100" i="43"/>
  <c r="P99" i="43"/>
  <c r="P98" i="43"/>
  <c r="O96" i="43"/>
  <c r="K96" i="43"/>
  <c r="L96" i="43" s="1"/>
  <c r="P96" i="43" s="1"/>
  <c r="O95" i="43"/>
  <c r="N95" i="43"/>
  <c r="P95" i="43" s="1"/>
  <c r="P94" i="43"/>
  <c r="O94" i="43"/>
  <c r="O93" i="43"/>
  <c r="N93" i="43"/>
  <c r="P93" i="43" s="1"/>
  <c r="O92" i="43"/>
  <c r="N92" i="43"/>
  <c r="P92" i="43" s="1"/>
  <c r="O91" i="43"/>
  <c r="N91" i="43"/>
  <c r="P91" i="43" s="1"/>
  <c r="O90" i="43"/>
  <c r="N90" i="43"/>
  <c r="P90" i="43" s="1"/>
  <c r="O89" i="43"/>
  <c r="N89" i="43"/>
  <c r="P89" i="43" s="1"/>
  <c r="L88" i="43"/>
  <c r="P88" i="43" s="1"/>
  <c r="P87" i="43"/>
  <c r="P86" i="43"/>
  <c r="P85" i="43"/>
  <c r="P84" i="43"/>
  <c r="O83" i="43"/>
  <c r="N83" i="43"/>
  <c r="P83" i="43" s="1"/>
  <c r="O82" i="43"/>
  <c r="N82" i="43"/>
  <c r="L81" i="43"/>
  <c r="K81" i="43"/>
  <c r="L80" i="43"/>
  <c r="P80" i="43" s="1"/>
  <c r="P79" i="43"/>
  <c r="O78" i="43"/>
  <c r="N78" i="43"/>
  <c r="N108" i="43" s="1"/>
  <c r="O77" i="43"/>
  <c r="N77" i="43"/>
  <c r="P77" i="43" s="1"/>
  <c r="P76" i="43"/>
  <c r="O76" i="43"/>
  <c r="N76" i="43"/>
  <c r="L76" i="43"/>
  <c r="K76" i="43"/>
  <c r="L75" i="43"/>
  <c r="K75" i="43"/>
  <c r="L74" i="43"/>
  <c r="K74" i="43"/>
  <c r="L73" i="43"/>
  <c r="K73" i="43"/>
  <c r="P72" i="43"/>
  <c r="O72" i="43"/>
  <c r="O71" i="43"/>
  <c r="N71" i="43"/>
  <c r="P71" i="43" s="1"/>
  <c r="O70" i="43"/>
  <c r="N70" i="43"/>
  <c r="P70" i="43" s="1"/>
  <c r="O69" i="43"/>
  <c r="N69" i="43"/>
  <c r="P69" i="43" s="1"/>
  <c r="O68" i="43"/>
  <c r="O73" i="43" s="1"/>
  <c r="N68" i="43"/>
  <c r="P67" i="43"/>
  <c r="O66" i="43"/>
  <c r="N66" i="43"/>
  <c r="P65" i="43"/>
  <c r="O65" i="43"/>
  <c r="N65" i="43"/>
  <c r="L65" i="43"/>
  <c r="K65" i="43"/>
  <c r="P64" i="43"/>
  <c r="O64" i="43"/>
  <c r="N64" i="43"/>
  <c r="L64" i="43"/>
  <c r="K64" i="43"/>
  <c r="L63" i="43"/>
  <c r="K63" i="43"/>
  <c r="K62" i="43"/>
  <c r="O61" i="43"/>
  <c r="N61" i="43"/>
  <c r="P61" i="43" s="1"/>
  <c r="O60" i="43"/>
  <c r="N60" i="43"/>
  <c r="P60" i="43" s="1"/>
  <c r="L60" i="43"/>
  <c r="L62" i="43" s="1"/>
  <c r="N59" i="43"/>
  <c r="P59" i="43" s="1"/>
  <c r="O58" i="43"/>
  <c r="N58" i="43"/>
  <c r="P58" i="43" s="1"/>
  <c r="O57" i="43"/>
  <c r="N57" i="43"/>
  <c r="P57" i="43" s="1"/>
  <c r="N56" i="43"/>
  <c r="P56" i="43" s="1"/>
  <c r="L55" i="43"/>
  <c r="L151" i="43" s="1"/>
  <c r="K55" i="43"/>
  <c r="K151" i="43" s="1"/>
  <c r="L54" i="43"/>
  <c r="K54" i="43"/>
  <c r="L53" i="43"/>
  <c r="K51" i="43"/>
  <c r="P50" i="43"/>
  <c r="O50" i="43"/>
  <c r="P49" i="43"/>
  <c r="O49" i="43"/>
  <c r="O48" i="43"/>
  <c r="N48" i="43"/>
  <c r="L48" i="43"/>
  <c r="O47" i="43"/>
  <c r="N47" i="43"/>
  <c r="P47" i="43" s="1"/>
  <c r="P46" i="43"/>
  <c r="O46" i="43"/>
  <c r="O45" i="43"/>
  <c r="N45" i="43"/>
  <c r="P45" i="43" s="1"/>
  <c r="O44" i="43"/>
  <c r="N44" i="43"/>
  <c r="P44" i="43" s="1"/>
  <c r="O43" i="43"/>
  <c r="N43" i="43"/>
  <c r="P43" i="43" s="1"/>
  <c r="P42" i="43"/>
  <c r="L41" i="43"/>
  <c r="L52" i="43" s="1"/>
  <c r="O40" i="43"/>
  <c r="N40" i="43"/>
  <c r="P40" i="43" s="1"/>
  <c r="O39" i="43"/>
  <c r="N39" i="43"/>
  <c r="P39" i="43" s="1"/>
  <c r="P38" i="43"/>
  <c r="O38" i="43"/>
  <c r="O37" i="43"/>
  <c r="N37" i="43"/>
  <c r="P37" i="43" s="1"/>
  <c r="O36" i="43"/>
  <c r="N36" i="43"/>
  <c r="P36" i="43" s="1"/>
  <c r="P35" i="43"/>
  <c r="O35" i="43"/>
  <c r="O34" i="43"/>
  <c r="N34" i="43"/>
  <c r="P34" i="43" s="1"/>
  <c r="O33" i="43"/>
  <c r="N33" i="43"/>
  <c r="P33" i="43" s="1"/>
  <c r="O32" i="43"/>
  <c r="N32" i="43"/>
  <c r="P32" i="43" s="1"/>
  <c r="O31" i="43"/>
  <c r="N31" i="43"/>
  <c r="N54" i="43" s="1"/>
  <c r="O30" i="43"/>
  <c r="N30" i="43"/>
  <c r="P30" i="43" s="1"/>
  <c r="O29" i="43"/>
  <c r="N29" i="43"/>
  <c r="P29" i="43" s="1"/>
  <c r="O28" i="43"/>
  <c r="N28" i="43"/>
  <c r="P28" i="43" s="1"/>
  <c r="O27" i="43"/>
  <c r="N27" i="43"/>
  <c r="P27" i="43" s="1"/>
  <c r="O26" i="43"/>
  <c r="N26" i="43"/>
  <c r="P26" i="43" s="1"/>
  <c r="O25" i="43"/>
  <c r="O55" i="43" s="1"/>
  <c r="O151" i="43" s="1"/>
  <c r="N25" i="43"/>
  <c r="N55" i="43" s="1"/>
  <c r="N151" i="43" s="1"/>
  <c r="P24" i="43"/>
  <c r="P23" i="43"/>
  <c r="P22" i="43"/>
  <c r="O22" i="43"/>
  <c r="P21" i="43"/>
  <c r="O21" i="43"/>
  <c r="P20" i="43"/>
  <c r="O20" i="43"/>
  <c r="K20" i="43"/>
  <c r="P19" i="43"/>
  <c r="O19" i="43"/>
  <c r="P18" i="43"/>
  <c r="O18" i="43"/>
  <c r="N18" i="43"/>
  <c r="O17" i="43"/>
  <c r="N17" i="43"/>
  <c r="P17" i="43" s="1"/>
  <c r="K17" i="43"/>
  <c r="O16" i="43"/>
  <c r="N16" i="43"/>
  <c r="P16" i="43" s="1"/>
  <c r="O15" i="43"/>
  <c r="N15" i="43"/>
  <c r="K15" i="43"/>
  <c r="P14" i="43"/>
  <c r="P13" i="43"/>
  <c r="O13" i="43"/>
  <c r="P12" i="43"/>
  <c r="P11" i="43"/>
  <c r="P10" i="43"/>
  <c r="O10" i="43"/>
  <c r="K10" i="43"/>
  <c r="O9" i="43"/>
  <c r="N9" i="43"/>
  <c r="P9" i="43" s="1"/>
  <c r="P8" i="43"/>
  <c r="O8" i="43"/>
  <c r="O7" i="43"/>
  <c r="N7" i="43"/>
  <c r="P7" i="43" s="1"/>
  <c r="O6" i="43"/>
  <c r="N6" i="43"/>
  <c r="P6" i="43" s="1"/>
  <c r="O5" i="43"/>
  <c r="N5" i="43"/>
  <c r="L5" i="43"/>
  <c r="P148" i="44" l="1"/>
  <c r="L150" i="43"/>
  <c r="O63" i="43"/>
  <c r="O108" i="43"/>
  <c r="P78" i="43"/>
  <c r="P129" i="43"/>
  <c r="P132" i="43"/>
  <c r="P48" i="43"/>
  <c r="O62" i="43"/>
  <c r="O54" i="43"/>
  <c r="O150" i="43" s="1"/>
  <c r="N63" i="43"/>
  <c r="O75" i="43"/>
  <c r="O51" i="43"/>
  <c r="O147" i="43" s="1"/>
  <c r="K108" i="43"/>
  <c r="K147" i="43" s="1"/>
  <c r="O53" i="43"/>
  <c r="P31" i="43"/>
  <c r="P54" i="43" s="1"/>
  <c r="P150" i="43" s="1"/>
  <c r="N75" i="43"/>
  <c r="O109" i="43"/>
  <c r="O144" i="43"/>
  <c r="N53" i="43"/>
  <c r="P41" i="43"/>
  <c r="O52" i="43"/>
  <c r="N52" i="43"/>
  <c r="L149" i="43"/>
  <c r="P75" i="43"/>
  <c r="O110" i="43"/>
  <c r="P152" i="43"/>
  <c r="L108" i="43"/>
  <c r="O119" i="43"/>
  <c r="L144" i="43"/>
  <c r="L109" i="43"/>
  <c r="P81" i="43"/>
  <c r="K144" i="43"/>
  <c r="P15" i="43"/>
  <c r="K150" i="43"/>
  <c r="N74" i="43"/>
  <c r="P66" i="43"/>
  <c r="N110" i="43"/>
  <c r="N109" i="43"/>
  <c r="P82" i="43"/>
  <c r="L119" i="43"/>
  <c r="P117" i="43"/>
  <c r="P119" i="43" s="1"/>
  <c r="N144" i="43"/>
  <c r="N51" i="43"/>
  <c r="P63" i="43"/>
  <c r="P68" i="43"/>
  <c r="N73" i="43"/>
  <c r="P110" i="43"/>
  <c r="K53" i="43"/>
  <c r="K149" i="43" s="1"/>
  <c r="P5" i="43"/>
  <c r="L51" i="43"/>
  <c r="K52" i="43"/>
  <c r="N150" i="43"/>
  <c r="N62" i="43"/>
  <c r="O74" i="43"/>
  <c r="P108" i="43"/>
  <c r="N119" i="43"/>
  <c r="P25" i="43"/>
  <c r="P62" i="43"/>
  <c r="K109" i="43"/>
  <c r="K119" i="43"/>
  <c r="P125" i="43"/>
  <c r="L148" i="43" l="1"/>
  <c r="N149" i="43"/>
  <c r="O149" i="43"/>
  <c r="O148" i="43"/>
  <c r="L147" i="43"/>
  <c r="N148" i="43"/>
  <c r="P52" i="43"/>
  <c r="P51" i="43"/>
  <c r="P53" i="43"/>
  <c r="P149" i="43" s="1"/>
  <c r="P109" i="43"/>
  <c r="P74" i="43"/>
  <c r="P55" i="43"/>
  <c r="P151" i="43" s="1"/>
  <c r="K148" i="43"/>
  <c r="P73" i="43"/>
  <c r="N147" i="43"/>
  <c r="P144" i="43"/>
  <c r="P148" i="43" l="1"/>
  <c r="P147" i="43"/>
  <c r="H4" i="20" l="1"/>
  <c r="G4" i="20" l="1"/>
  <c r="D23" i="3"/>
</calcChain>
</file>

<file path=xl/comments1.xml><?xml version="1.0" encoding="utf-8"?>
<comments xmlns="http://schemas.openxmlformats.org/spreadsheetml/2006/main">
  <authors>
    <author>Lusine Grigoryan</author>
    <author>Susanna Sargsyan</author>
    <author>Armen Manukyan</author>
  </authors>
  <commentList>
    <comment ref="H8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KFW-09122014</t>
        </r>
      </text>
    </comment>
    <comment ref="H9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KFW-09122014-1</t>
        </r>
      </text>
    </comment>
    <comment ref="H15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IBRD-01062011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Համաձայն 26.04.2017թ. կնքված համաձայնագրի  մասհանման վերջնաժամկետ է սահմանվել 30.06.2018թ. (30.06.2016 փոխարեն)
Համաձայն 23.11.2018թ. կնքված համաձայնագրի մասհանման վերջնաժամկետ է սահմանվել 31.12.2019թ. (30.06.2018 փոխարեն)
Համաձայն 14.02.2020թ. նքված համաձայնագրի գումարը նվազել է 3,5 մլն դոլարով` կազմելով 35,5 մլն, իսկ մասհանման վերջնաժամկետ է սահմանվել 31.12.2020թ. (31.12.2020 փոխարեն)
30.04.2021թ. դրությամբ առկա 1,434,414.80 ԱՄՆ դոլար ենթավարկի մնացորդը չեղարկվել է (27.09.2021թ. կնքված փոփոխոիթյան)</t>
        </r>
      </text>
    </comment>
    <comment ref="M15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15.05.2022թ.-ից</t>
        </r>
      </text>
    </comment>
    <comment ref="K17" authorId="0" shapeId="0">
      <text>
        <r>
          <rPr>
            <b/>
            <sz val="10"/>
            <color indexed="81"/>
            <rFont val="Tahoma"/>
            <family val="2"/>
          </rPr>
          <t>Lusine Grigoryan:
Հ</t>
        </r>
        <r>
          <rPr>
            <sz val="10"/>
            <color indexed="81"/>
            <rFont val="Tahoma"/>
            <family val="2"/>
          </rPr>
          <t>ամաձայն 13.07.20թ. կնքված համաձայնագրի գումարը նվազել է 2,5 մլն դոլարով` կազմելով 37,5 մլն
Համաձայն 14.02.2020թ. կնքված համաձայնագրի գումարը նվազել է 1,5 մլն դոլարով` կազմելով 36,0 մլն և մասհանման վերջնաժամկետ է սահմանվել 31.12.2020թ. 
Համաձայն 03.02.2021թ. կնքված համաձայնագրով մասհանման վերջնաժամկետ է սահմանվել 31.12.2023թ.(նախկին 31.12.2020թ փոխարեն)</t>
        </r>
      </text>
    </comment>
    <comment ref="M1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15.02.2022թ.-ից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52 մլն դոլար</t>
        </r>
      </text>
    </comment>
    <comment ref="K19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29.06.2018թ. Համաձայնագրով 21.794.486  փոխարինվել է 28.194.486
14.02.2020թ. Համաձայնագրով 28.194.486 դոլար գումարը նվազել է 5 մլն և   փոխարինվել է 23.194.486
03.02.2021թ. Համաձայնագրով մասհանման ժամկետը երկարաձգվել է 31.12.2023 (31.12.2020 փոխարեն)
Համաշխարհային բանկի 28.07.2025թ. գրության համաձայն 30.06.2025թ. մասհանման ժամկետի ավարտին 5,952,356.52 մնացորդը չեղարվել է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11.06.2018թ. Համաձայնագրով 30.205.514  փոխարինվել է 22.305.514
14.02.2020թ. Համաձայնագրով 22.305.514    փոխարինվել է 16.662.617
</t>
        </r>
      </text>
    </comment>
    <comment ref="K25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18.06.2020թ. Համաձայնագրով 15.192.292 SDR փոխարինվել է 13.988.153 SDR, իսկ մասհանման ժամկետը երկարաձգվել է մինչև 30.06.2022թ (30.06.2020 փոխարեն)</t>
        </r>
      </text>
    </comment>
    <comment ref="K27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25.05.2020թ. Համաձայնագրով 8.829.708 SDR փոխարինվել է 10.098.535 SDR, իսկ մասհանման ժամկետը երկարաձգվել է մինչև 30.06.2022թ (30.06.2020 փոխարեն)</t>
        </r>
      </text>
    </comment>
    <comment ref="L31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Վարկի (Գ) բաղադրիչի մասով մայր գումարի տրամադրումը հաշվարկվում է  հաշվարկվում է Համաձայնագրի 7.4 կետում բերված բանաձևով մասհանցած գումար*0,29*1,3  </t>
        </r>
      </text>
    </comment>
    <comment ref="L32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Վարկի (Գ) բաղադրիչի մասով մայր գումարի տրամադրումը հաշվարկվում է  հաշվարկվում է Համաձայնագրի 7.4 կետում բերված բանաձևով մասհանցած գումար*0,71*1,3  </t>
        </r>
      </text>
    </comment>
    <comment ref="B36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նախկինում՝ «Որոտանի հիդրոէլեկտրակայանների համալիր »  ՓԲԸ</t>
        </r>
      </text>
    </comment>
    <comment ref="L39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9.713.669 ճապ. Իեն գումարը չեղյալ է համարվել</t>
        </r>
      </text>
    </comment>
    <comment ref="C71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730-AM</t>
        </r>
      </text>
    </comment>
    <comment ref="C72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779-AM</t>
        </r>
      </text>
    </comment>
    <comment ref="R7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Վճարումը կատարվում է հազվադեպ, սահմանված ժամանակացույցի խախտմամբ</t>
        </r>
      </text>
    </comment>
    <comment ref="H78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վարչապետ Տիգրան Սարգսյանի մոտ 2011թ. ապրիլի 27-ին կայացած` խորհրդակցության N 23.8/75092-11 արձանագրություն</t>
        </r>
      </text>
    </comment>
    <comment ref="R80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 չի կատարվում, և պարբերաբար ՀՀ կառավարության համապատասխան որոշումներով մարման ժամկետը հետաձգվում է</t>
        </r>
      </text>
    </comment>
    <comment ref="R81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 չի կատարվում, և պարբերաբար ՀՀ կառավարության համապատասխան որոշումներով մարման ժամկետը հետաձգվում է</t>
        </r>
      </text>
    </comment>
    <comment ref="F85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 ՀՀ կառավարության 20.06.2011թ.  N  681 - Ա որոշում</t>
        </r>
      </text>
    </comment>
    <comment ref="R85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Վճարում չի կատարվում</t>
        </r>
      </text>
    </comment>
    <comment ref="F86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կառավարության 02.08.2012թ. N 1018  -Ն որոշում</t>
        </r>
      </text>
    </comment>
    <comment ref="R86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Վճարում չի կատարվում</t>
        </r>
      </text>
    </comment>
    <comment ref="F8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կառավարության 06.02.2014թ.  N  194 -Ն որոշում</t>
        </r>
      </text>
    </comment>
    <comment ref="R8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Վճարում չի կատարվում</t>
        </r>
      </text>
    </comment>
    <comment ref="R88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Վճարում չի կատարվում</t>
        </r>
      </text>
    </comment>
    <comment ref="F89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կառավարության 10.12.2015թ. N 1436-Ն որոշում</t>
        </r>
      </text>
    </comment>
    <comment ref="R89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Առկա է պարտավորություն հաշվարկված  տոկոսագումարի տույժի գծով</t>
        </r>
      </text>
    </comment>
    <comment ref="R9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Ըստ հիմնավորման՝ Բյուջետային վարկը տրամադրվում է 2024 թվականի հոկտեմբեր, նոյեմբեր ամիսների աշխատավարձի (ներառյալ հարկային պարտավորություններ և պարտադիր վճարներ) գծով առաջացած պարտավորություների մարման նպատակով:</t>
        </r>
      </text>
    </comment>
    <comment ref="G102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կառավարության 15.11.2024թ. Թիվ 1796-Ն որոշում</t>
        </r>
      </text>
    </comment>
    <comment ref="R102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Շրջանառվում է ՀՀ կառավարության որոշման նախագիծ՝ տրամադրված վարկը փոխակերպելու ընկերության կանոնադրական կապիտալում ներդրման</t>
        </r>
      </text>
    </comment>
    <comment ref="R103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ՖՆ կողմից հայց է ներկայացվել դատարան</t>
        </r>
      </text>
    </comment>
    <comment ref="I106" authorId="1" shapeId="0">
      <text>
        <r>
          <rPr>
            <b/>
            <sz val="9"/>
            <color indexed="81"/>
            <rFont val="Tahoma"/>
            <family val="2"/>
          </rPr>
          <t>Susanna Sargsyan:</t>
        </r>
        <r>
          <rPr>
            <sz val="9"/>
            <color indexed="81"/>
            <rFont val="Tahoma"/>
            <family val="2"/>
          </rPr>
          <t xml:space="preserve">
Համաձայն ՀՀ կառ.24.12.20թ. 2174-Ն որոշման, 25.12.2020թ.-ին կնքվել է համաձայնագիր, որով փոփոխվել են տոկոսն ու մարման ժամկետը</t>
        </r>
      </text>
    </comment>
    <comment ref="I107" authorId="1" shapeId="0">
      <text>
        <r>
          <rPr>
            <b/>
            <sz val="9"/>
            <color indexed="81"/>
            <rFont val="Tahoma"/>
            <family val="2"/>
          </rPr>
          <t>Susanna Sargsyan:</t>
        </r>
        <r>
          <rPr>
            <sz val="9"/>
            <color indexed="81"/>
            <rFont val="Tahoma"/>
            <family val="2"/>
          </rPr>
          <t xml:space="preserve">
Համաձայն ՀՀ կառ.24.12.20թ. 2176-Ա որոշման, 25.12.2020թ.-ին կնքվել է համաձայնագիր, որով փոփոխվել են տոկոսն ու մարման ժամկետը</t>
        </r>
      </text>
    </comment>
    <comment ref="C112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1-ին միջոցառում</t>
        </r>
      </text>
    </comment>
    <comment ref="I112" authorId="2" shapeId="0">
      <text>
        <r>
          <rPr>
            <b/>
            <sz val="9"/>
            <color indexed="81"/>
            <rFont val="Tahoma"/>
            <family val="2"/>
          </rPr>
          <t>Armen Manukyan:</t>
        </r>
        <r>
          <rPr>
            <sz val="9"/>
            <color indexed="81"/>
            <rFont val="Tahoma"/>
            <family val="2"/>
          </rPr>
          <t xml:space="preserve">
Համաձայն 02.06.20թ. Փոփոխություններ և լրացումներ կատարելու մասին համաձայնագրի՝ ԳՖԿ-ների կողմից վարկի մարման առավելագույն ժամկետը 31.05.22թ., որից հետո  հետո 3-րդ աշխատանքային օրում գումարը պետք է փոխանցվի 900005052015 հաշվեհամարին:</t>
        </r>
      </text>
    </comment>
    <comment ref="L112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Ամբողջովին տրամադրված</t>
        </r>
      </text>
    </comment>
    <comment ref="R112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Մարումները կատարվում են անկանոն</t>
        </r>
      </text>
    </comment>
    <comment ref="R113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Մարումները կատարվում են անկանոն</t>
        </r>
      </text>
    </comment>
    <comment ref="R114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Մարումները կատարվում են անկանոն</t>
        </r>
      </text>
    </comment>
    <comment ref="R115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Մարումները կատարվում են անկանոն</t>
        </r>
      </text>
    </comment>
    <comment ref="R116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Մարումները կատարվում են անկանոն</t>
        </r>
      </text>
    </comment>
    <comment ref="C11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3-րդ միջոցառում</t>
        </r>
      </text>
    </comment>
    <comment ref="N11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140537000+5009140 ավելացվել է 2022թ. հոկտեմբերին
Փաստացի տրամադրված վարկերի հետ վերադարձը եղել է 
2020թ.ընթացքում 140537000 դրամ
2021թ.ընթացքում 5009140 դրամ
200000 եկելա 2-րդ միջոցառւոմից</t>
        </r>
      </text>
    </comment>
    <comment ref="R11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Մարումները կատարվում են անկանոն</t>
        </r>
      </text>
    </comment>
    <comment ref="R122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 չի կատարվում</t>
        </r>
      </text>
    </comment>
    <comment ref="R123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 չի կատարվում</t>
        </r>
      </text>
    </comment>
    <comment ref="R125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 չի կատարվում</t>
        </r>
      </text>
    </comment>
    <comment ref="R126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 չի կատարվում</t>
        </r>
      </text>
    </comment>
    <comment ref="R12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 չի կատարվում</t>
        </r>
      </text>
    </comment>
    <comment ref="R130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 չի կատարվում</t>
        </r>
      </text>
    </comment>
    <comment ref="R132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 կատարվում է անկանոն</t>
        </r>
      </text>
    </comment>
    <comment ref="R133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 չի կատարվում</t>
        </r>
      </text>
    </comment>
    <comment ref="R13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 չի կատարվում</t>
        </r>
      </text>
    </comment>
    <comment ref="R141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 չի կատարվում</t>
        </r>
      </text>
    </comment>
    <comment ref="R142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 չի կատարվում</t>
        </r>
      </text>
    </comment>
  </commentList>
</comments>
</file>

<file path=xl/comments2.xml><?xml version="1.0" encoding="utf-8"?>
<comments xmlns="http://schemas.openxmlformats.org/spreadsheetml/2006/main">
  <authors>
    <author>Lusine Grigoryan</author>
    <author>Susanna Sargsyan</author>
    <author>Armen Manukyan</author>
  </authors>
  <commentList>
    <comment ref="H8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KFW-09122014</t>
        </r>
      </text>
    </comment>
    <comment ref="H9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KFW-09122014-1</t>
        </r>
      </text>
    </comment>
    <comment ref="H15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IBRD-01062011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Համաձայն 26.04.2017թ. կնքված համաձայնագրի  մասհանման վերջնաժամկետ է սահմանվել 30.06.2018թ. (30.06.2016 փոխարեն)
Համաձայն 23.11.2018թ. կնքված համաձայնագրի մասհանման վերջնաժամկետ է սահմանվել 31.12.2019թ. (30.06.2018 փոխարեն)
Համաձայն 14.02.2020թ. նքված համաձայնագրի գումարը նվազել է 3,5 մլն դոլարով` կազմելով 35,5 մլն, իսկ մասհանման վերջնաժամկետ է սահմանվել 31.12.2020թ. (31.12.2020 փոխարեն)
30.04.2021թ. դրությամբ առկա 1,434,414.80 ԱՄՆ դոլար ենթավարկի մնացորդը չեղարկվել է (27.09.2021թ. կնքված փոփոխոիթյան)</t>
        </r>
      </text>
    </comment>
    <comment ref="M15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15.05.2022թ.-ից</t>
        </r>
      </text>
    </comment>
    <comment ref="K17" authorId="0" shapeId="0">
      <text>
        <r>
          <rPr>
            <b/>
            <sz val="10"/>
            <color indexed="81"/>
            <rFont val="Tahoma"/>
            <family val="2"/>
          </rPr>
          <t>Lusine Grigoryan:
Հ</t>
        </r>
        <r>
          <rPr>
            <sz val="10"/>
            <color indexed="81"/>
            <rFont val="Tahoma"/>
            <family val="2"/>
          </rPr>
          <t>ամաձայն 13.07.20թ. կնքված համաձայնագրի գումարը նվազել է 2,5 մլն դոլարով` կազմելով 37,5 մլն
Համաձայն 14.02.2020թ. կնքված համաձայնագրի գումարը նվազել է 1,5 մլն դոլարով` կազմելով 36,0 մլն և մասհանման վերջնաժամկետ է սահմանվել 31.12.2020թ. 
Համաձայն 03.02.2021թ. կնքված համաձայնագրով մասհանման վերջնաժամկետ է սահմանվել 31.12.2023թ.(նախկին 31.12.2020թ փոխարեն)</t>
        </r>
      </text>
    </comment>
    <comment ref="M1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15.02.2022թ.-ից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52 մլն դոլար</t>
        </r>
      </text>
    </comment>
    <comment ref="K19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29.06.2018թ. Համաձայնագրով 21.794.486  փոխարինվել է 28.194.486
14.02.2020թ. Համաձայնագրով 28.194.486 դոլար գումարը նվազել է 5 մլն և   փոխարինվել է 23.194.486
03.02.2021թ. Համաձայնագրով մասհանման ժամկետը երկարաձգվել է 31.12.2023 (31.12.2020 փոխարեն)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11.06.2018թ. Համաձայնագրով 30.205.514  փոխարինվել է 22.305.514
14.02.2020թ. Համաձայնագրով 22.305.514    փոխարինվել է 16.662.617
</t>
        </r>
      </text>
    </comment>
    <comment ref="K25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18.06.2020թ. Համաձայնագրով 15.192.292 SDR փոխարինվել է 13.988.153 SDR, իսկ մասհանման ժամկետը երկարաձգվել է մինչև 30.06.2022թ (30.06.2020 փոխարեն)</t>
        </r>
      </text>
    </comment>
    <comment ref="K27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25.05.2020թ. Համաձայնագրով 8.829.708 SDR փոխարինվել է 10.098.535 SDR, իսկ մասհանման ժամկետը երկարաձգվել է մինչև 30.06.2022թ (30.06.2020 փոխարեն)</t>
        </r>
      </text>
    </comment>
    <comment ref="L31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Վարկի (Գ) բաղադրիչի մասով մայր գումարի տրամադրումը հաշվարկվում է  հաշվարկվում է Համաձայնագրի 7.4 կետում բերված բանաձևով մասհանցած գումար*0,29*1,3  </t>
        </r>
      </text>
    </comment>
    <comment ref="L32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Վարկի (Գ) բաղադրիչի մասով մայր գումարի տրամադրումը հաշվարկվում է  հաշվարկվում է Համաձայնագրի 7.4 կետում բերված բանաձևով մասհանցած գումար*0,71*1,3  </t>
        </r>
      </text>
    </comment>
    <comment ref="B36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նախկինում՝ «Որոտանի հիդրոէլեկտրակայանների համալիր »  ՓԲԸ</t>
        </r>
      </text>
    </comment>
    <comment ref="L39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9.713.669 ճապ. Իեն գումարը չեղյալ է համարվել</t>
        </r>
      </text>
    </comment>
    <comment ref="C71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730-AM</t>
        </r>
      </text>
    </comment>
    <comment ref="C72" authorId="0" shapeId="0">
      <text>
        <r>
          <rPr>
            <b/>
            <sz val="10"/>
            <color indexed="81"/>
            <rFont val="Tahoma"/>
            <family val="2"/>
          </rPr>
          <t>Lusine Grigoryan:</t>
        </r>
        <r>
          <rPr>
            <sz val="10"/>
            <color indexed="81"/>
            <rFont val="Tahoma"/>
            <family val="2"/>
          </rPr>
          <t xml:space="preserve">
779-AM</t>
        </r>
      </text>
    </comment>
    <comment ref="R7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Վճարումը կատարվում է հազվադեպ, սահմանված ժամանակացույցի խախտմամբ</t>
        </r>
      </text>
    </comment>
    <comment ref="H78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վարչապետ Տիգրան Սարգսյանի մոտ 2011թ. ապրիլի 27-ին կայացած` խորհրդակցության N 23.8/75092-11 արձանագրություն</t>
        </r>
      </text>
    </comment>
    <comment ref="R80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 չի կատարվում, և պարբերաբար ՀՀ կառավարության համապատասխան որոշումներով մարման ժամկետը հետաձգվում է</t>
        </r>
      </text>
    </comment>
    <comment ref="R81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 չի կատարվում, և պարբերաբար ՀՀ կառավարության համապատասխան որոշումներով մարման ժամկետը հետաձգվում է</t>
        </r>
      </text>
    </comment>
    <comment ref="F85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 ՀՀ կառավարության 20.06.2011թ.  N  681 - Ա որոշում</t>
        </r>
      </text>
    </comment>
    <comment ref="R85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Վճարում չի կատարվում</t>
        </r>
      </text>
    </comment>
    <comment ref="F86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կառավարության 02.08.2012թ. N 1018  -Ն որոշում</t>
        </r>
      </text>
    </comment>
    <comment ref="R86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Վճարում չի կատարվում</t>
        </r>
      </text>
    </comment>
    <comment ref="F8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կառավարության 06.02.2014թ.  N  194 -Ն որոշում</t>
        </r>
      </text>
    </comment>
    <comment ref="R8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Վճարում չի կատարվում</t>
        </r>
      </text>
    </comment>
    <comment ref="R88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Վճարում չի կատարվում</t>
        </r>
      </text>
    </comment>
    <comment ref="F89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կառավարության 10.12.2015թ. N 1436-Ն որոշում</t>
        </r>
      </text>
    </comment>
    <comment ref="R89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Առկա է պարտավորություն հաշվարկված  տոկոսագումարի տույժի գծով</t>
        </r>
      </text>
    </comment>
    <comment ref="R9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Ըստ հիմնավորման՝ Բյուջետային վարկը տրամադրվում է 2024 թվականի հոկտեմբեր, նոյեմբեր ամիսների աշխատավարձի (ներառյալ հարկային պարտավորություններ և պարտադիր վճարներ) գծով առաջացած պարտավորություների մարման նպատակով:</t>
        </r>
      </text>
    </comment>
    <comment ref="G102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կառավարության 15.11.2024թ. Թիվ 1796-Ն որոշում</t>
        </r>
      </text>
    </comment>
    <comment ref="R102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Շրջանառվում է ՀՀ կառավարության որոշման նախագիծ՝ տրամադրված վարկը փոխակերպելու ընկերության կանոնադրական կապիտալում ներդրման</t>
        </r>
      </text>
    </comment>
    <comment ref="R103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ՀՀ ՖՆ կողմից հայց է ներկայացվել դատարան</t>
        </r>
      </text>
    </comment>
    <comment ref="I106" authorId="1" shapeId="0">
      <text>
        <r>
          <rPr>
            <b/>
            <sz val="9"/>
            <color indexed="81"/>
            <rFont val="Tahoma"/>
            <family val="2"/>
          </rPr>
          <t>Susanna Sargsyan:</t>
        </r>
        <r>
          <rPr>
            <sz val="9"/>
            <color indexed="81"/>
            <rFont val="Tahoma"/>
            <family val="2"/>
          </rPr>
          <t xml:space="preserve">
Համաձայն ՀՀ կառ.24.12.20թ. 2174-Ն որոշման, 25.12.2020թ.-ին կնքվել է համաձայնագիր, որով փոփոխվել են տոկոսն ու մարման ժամկետը</t>
        </r>
      </text>
    </comment>
    <comment ref="I107" authorId="1" shapeId="0">
      <text>
        <r>
          <rPr>
            <b/>
            <sz val="9"/>
            <color indexed="81"/>
            <rFont val="Tahoma"/>
            <family val="2"/>
          </rPr>
          <t>Susanna Sargsyan:</t>
        </r>
        <r>
          <rPr>
            <sz val="9"/>
            <color indexed="81"/>
            <rFont val="Tahoma"/>
            <family val="2"/>
          </rPr>
          <t xml:space="preserve">
Համաձայն ՀՀ կառ.24.12.20թ. 2176-Ա որոշման, 25.12.2020թ.-ին կնքվել է համաձայնագիր, որով փոփոխվել են տոկոսն ու մարման ժամկետը</t>
        </r>
      </text>
    </comment>
    <comment ref="C112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1-ին միջոցառում</t>
        </r>
      </text>
    </comment>
    <comment ref="I112" authorId="2" shapeId="0">
      <text>
        <r>
          <rPr>
            <b/>
            <sz val="9"/>
            <color indexed="81"/>
            <rFont val="Tahoma"/>
            <family val="2"/>
          </rPr>
          <t>Armen Manukyan:</t>
        </r>
        <r>
          <rPr>
            <sz val="9"/>
            <color indexed="81"/>
            <rFont val="Tahoma"/>
            <family val="2"/>
          </rPr>
          <t xml:space="preserve">
Համաձայն 02.06.20թ. Փոփոխություններ և լրացումներ կատարելու մասին համաձայնագրի՝ ԳՖԿ-ների կողմից վարկի մարման առավելագույն ժամկետը 31.05.22թ., որից հետո  հետո 3-րդ աշխատանքային օրում գումարը պետք է փոխանցվի 900005052015 հաշվեհամարին:</t>
        </r>
      </text>
    </comment>
    <comment ref="L112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Ամբողջովին տրամադրված</t>
        </r>
      </text>
    </comment>
    <comment ref="R112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Մարումները կատարվում են անկանոն</t>
        </r>
      </text>
    </comment>
    <comment ref="R113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Մարումները կատարվում են անկանոն</t>
        </r>
      </text>
    </comment>
    <comment ref="R114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Մարումները կատարվում են անկանոն</t>
        </r>
      </text>
    </comment>
    <comment ref="R115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Մարումները կատարվում են անկանոն</t>
        </r>
      </text>
    </comment>
    <comment ref="R116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Մարումները կատարվում են անկանոն</t>
        </r>
      </text>
    </comment>
    <comment ref="C11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3-րդ միջոցառում</t>
        </r>
      </text>
    </comment>
    <comment ref="N11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140537000+5009140 ավելացվել է 2022թ. հոկտեմբերին
Փաստացի տրամադրված վարկերի հետ վերադարձը եղել է 
2020թ.ընթացքում 140537000 դրամ
2021թ.ընթացքում 5009140 դրամ
200000 եկելա 2-րդ միջոցառւոմից</t>
        </r>
      </text>
    </comment>
    <comment ref="R11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Մարումները կատարվում են անկանոն</t>
        </r>
      </text>
    </comment>
    <comment ref="R122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 չի կատարվում</t>
        </r>
      </text>
    </comment>
    <comment ref="R123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 չի կատարվում</t>
        </r>
      </text>
    </comment>
    <comment ref="R125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 չի կատարվում</t>
        </r>
      </text>
    </comment>
    <comment ref="R126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 չի կատարվում</t>
        </r>
      </text>
    </comment>
    <comment ref="R12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 չի կատարվում</t>
        </r>
      </text>
    </comment>
    <comment ref="R130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 չի կատարվում</t>
        </r>
      </text>
    </comment>
    <comment ref="R132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 կատարվում է անկանոն</t>
        </r>
      </text>
    </comment>
    <comment ref="R133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 չի կատարվում</t>
        </r>
      </text>
    </comment>
    <comment ref="R137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 չի կատարվում</t>
        </r>
      </text>
    </comment>
    <comment ref="R141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 չի կատարվում</t>
        </r>
      </text>
    </comment>
    <comment ref="R142" authorId="0" shapeId="0">
      <text>
        <r>
          <rPr>
            <b/>
            <sz val="9"/>
            <color indexed="81"/>
            <rFont val="Tahoma"/>
            <family val="2"/>
          </rPr>
          <t>Lusine Grigoryan:</t>
        </r>
        <r>
          <rPr>
            <sz val="9"/>
            <color indexed="81"/>
            <rFont val="Tahoma"/>
            <family val="2"/>
          </rPr>
          <t xml:space="preserve">
Մարում չի կատարվում</t>
        </r>
      </text>
    </comment>
  </commentList>
</comments>
</file>

<file path=xl/sharedStrings.xml><?xml version="1.0" encoding="utf-8"?>
<sst xmlns="http://schemas.openxmlformats.org/spreadsheetml/2006/main" count="2556" uniqueCount="606">
  <si>
    <t xml:space="preserve">
 ՀՀ ԿԲ գերմանահայկական հիմնադրամին վարկավորում</t>
  </si>
  <si>
    <t xml:space="preserve">
Կորոնավիրուսի (COVID-19) տնտեսական հետևանքների չեզոքացման  1-ին միջոցառման շրջանակներում ՀՀ ԿԲ գերմանահայկական հինադրամին վարկավորում</t>
  </si>
  <si>
    <t>ՀՀ դրամ</t>
  </si>
  <si>
    <t xml:space="preserve"> ՀՀ էկոնոմիկայի նախարարություն</t>
  </si>
  <si>
    <t xml:space="preserve">
Կորոնավիրուսի (COVID-19) տնտեսական հետևանքների չեզոքացման  3-րդ միջոցառման շրջանակներում ՀՀ ԿԲ գերմանահայկական հիմնադրամին վարկավորում</t>
  </si>
  <si>
    <t xml:space="preserve">
Կորոնավիրուսի (COVID-19) տնտեսական հետևանքների չեզոքացման  19-րդ միջոցառման շրջանակներում իրականացվող վարկավորում</t>
  </si>
  <si>
    <t>25.12.2028թ.</t>
  </si>
  <si>
    <t xml:space="preserve">
Կորոնավիրուսի (COVID-19) տնտեսական հետևանքների չեզոքացման  2-րդ միջոցառման շրջանակներում իրականացվող վարկավորում</t>
  </si>
  <si>
    <t>07.05.2024թ.</t>
  </si>
  <si>
    <t>30.04.2024թ.</t>
  </si>
  <si>
    <t>Տ Ե Ղ Ե Կ Ա Ն Ք</t>
  </si>
  <si>
    <t>Հ/Հ</t>
  </si>
  <si>
    <t>Վարկառու</t>
  </si>
  <si>
    <t>Արժույթը</t>
  </si>
  <si>
    <t>Ենթավարկի, բյուջետային վարկի, պայմանագրով փոխանցված պարտավորության նախատեսված գումարը</t>
  </si>
  <si>
    <t>Ենթավարկի, բյուջետային վարկի, պայմանագրով փոխանցված պարտավորության փաստացի  գումարը</t>
  </si>
  <si>
    <t>Ենթավարկի, բյուջետային վարկի տոկոսադրույքը</t>
  </si>
  <si>
    <t>Մարված վարկի հիմնական գումար</t>
  </si>
  <si>
    <t>Մարված տոկոսագումար</t>
  </si>
  <si>
    <t>Վարկի հիմնական գումարի մնացորդ</t>
  </si>
  <si>
    <t>Գրավի առարկան</t>
  </si>
  <si>
    <t>«Բարձրավոլտ էլեկտրացանցեր» ՓԲԸ</t>
  </si>
  <si>
    <t xml:space="preserve"> ««Գյումրի-2» ենթակայանի վերականգնում» I փուլ</t>
  </si>
  <si>
    <t>Գերմանիայի վերականգնվող վարկերի բանկ (KfW)</t>
  </si>
  <si>
    <t>30.06.2019թ.  - 30.06.2049թ.</t>
  </si>
  <si>
    <t>Եվրո</t>
  </si>
  <si>
    <t>0.75% և 0.25% պարտավճար</t>
  </si>
  <si>
    <t>Հասարակ մուրհաիկներ, ակտիվներ</t>
  </si>
  <si>
    <t xml:space="preserve"> ««Գյումրի-2» ենթակայանի վերականգնում» II փուլ</t>
  </si>
  <si>
    <t>30.12.2012թ. -30.06.2024թ.</t>
  </si>
  <si>
    <t>վերաֆինանսավորման դրույք + 1.25% (յուրաքանչյուր մասհանման համար սահմանված)</t>
  </si>
  <si>
    <t>Հասարակ մուրհակներ և յուրաքանչյուր տարվա դեկտեմբեր ամսվա դրությամբ ձեռք բերված ակտիվներ</t>
  </si>
  <si>
    <t>«Հոսանքահաղորդիչ համակարգի վերականգնում (Կամո և Վանաձոր-2 ենթակայաններ)»</t>
  </si>
  <si>
    <t>30.06.2009թ. - 30.12.2038թ.</t>
  </si>
  <si>
    <t xml:space="preserve">«Կովկասյան էլեկտրահաղորդման ցանց I (Հայաստան-Վրաստան հաղորդիչ գիծ/ենթակայաններ)» </t>
  </si>
  <si>
    <t>30.12.2019թ. -30.12.2029թ.</t>
  </si>
  <si>
    <t>1.85% և 0.25% պարտավճար</t>
  </si>
  <si>
    <t>30.06.2025թ. -30.12.2054թ.</t>
  </si>
  <si>
    <t>«Կովկասյան էլեկտրահաղորդման ցանց I (Հայաստան-Վրաստան հաղորդիչ գիծ/ենթակայաններ) (Փուլ 1 + Փուլ 2a)»</t>
  </si>
  <si>
    <t>Մասհանման ամսաթվից  մինչև 28 տարի (արտոնյալ ժամկետ՝ 5 տարի)</t>
  </si>
  <si>
    <t>փոփոխական</t>
  </si>
  <si>
    <t>Հասարակ մուրհակներ և յուրաքանչյուր տարվա դեկտեմբեր ամսվա դրությամբ ձեռք բերված ակտիվներ:  17.05.2005թ. կնքված գրավի պայմանագրով գրավադրված գույքը:</t>
  </si>
  <si>
    <t>«Կովկասյան էլեկտրահաղորդման ցանց III (Ծրագրի փուլ 2)» (Հայաստան-Վրաստան հաղորդիչ գիծ/ենթակայաններ)»</t>
  </si>
  <si>
    <t>30.12.2020թ. -30.12.2030թ.</t>
  </si>
  <si>
    <t>«Էլեկտրաէներգիայի մատակարարման հուսալիություն»</t>
  </si>
  <si>
    <t>Վերակառուցման և Զարգացման Միջազգային Բանկի (ՎԶՄԲ)</t>
  </si>
  <si>
    <t>15.11.2021թ. -15.05.2036թ.</t>
  </si>
  <si>
    <t>ԱՄՆ դոլար</t>
  </si>
  <si>
    <t>Հասարակ մուրհակներ</t>
  </si>
  <si>
    <t>««Էլեկտրաէներգիայի մատակարարման հուսալիություն» ծրագրի լրացուցիչ ֆինանսավորում»</t>
  </si>
  <si>
    <t>15.08.2024թ. -15.08.2039թ.</t>
  </si>
  <si>
    <t xml:space="preserve">«Էլեկտրահաղորդման ցանցի բարելավում ծրագիր» </t>
  </si>
  <si>
    <t>15.11.2039թ.</t>
  </si>
  <si>
    <t>«Երևանի ջերմաէլեկտրակենտրոն» ՓԲԸ</t>
  </si>
  <si>
    <t>«Էլեկտրաէներգիայի հաղորդման ցանցի վերակառուցում»</t>
  </si>
  <si>
    <t>Ասիական Զարգացման Բանկ (ԱԶԲ)</t>
  </si>
  <si>
    <t>15.11.2019թ. -15.05.2039թ.</t>
  </si>
  <si>
    <t>ՀՓԻ</t>
  </si>
  <si>
    <t>«Էլեկտրաէներգետիկական համակարգի օպերատոր» ՓԲԸ</t>
  </si>
  <si>
    <t xml:space="preserve">«էլեկտրահաղորդման և բաշխիչ համակարգեր»   N 3175 AM </t>
  </si>
  <si>
    <t>Զարգացման Միջազգային Ընկերակցություն (ՄԶԸ)</t>
  </si>
  <si>
    <t>05.06.2009թ. - 05.12.2033թ.</t>
  </si>
  <si>
    <t>05.12.2008թ. -05.12.2023թ.</t>
  </si>
  <si>
    <t>յուրաքանչյուր տարվա հունվարի 1-ի փոփոխական տոկոսադրույք +0.5%</t>
  </si>
  <si>
    <t>«Էլեկտրահաղորդման և բաշխիչ համակարգեր»</t>
  </si>
  <si>
    <t>Ճապոնիայի Անդրծովյան տնտեսական համագործակցության հիմնադրամ (JICA)</t>
  </si>
  <si>
    <t>10.02.2019թ. -10.02.2039թ.</t>
  </si>
  <si>
    <t>Ճապոնական իեն</t>
  </si>
  <si>
    <t>«Հայաստանի էլեկտրական ցանցեր» ՓԲԸ</t>
  </si>
  <si>
    <t>«Հայաստանի վերականգնվող էներգետիկայի և էներգախնայողության հիմնադրամ»</t>
  </si>
  <si>
    <t>10.11.2015թ. - 10.11.2045թ.</t>
  </si>
  <si>
    <t>Առանց գրավի</t>
  </si>
  <si>
    <t>«Միջազգային էներգետիկ կորպորացիա» ՓԲԸ</t>
  </si>
  <si>
    <t>«Էներգետիկայի բնագավառում անհապաղ օգնություն (Քանաքեռի հիդրոէլեկտրակայան)»</t>
  </si>
  <si>
    <t>25.11.2010թ. - 25.11.2041թ.</t>
  </si>
  <si>
    <t xml:space="preserve"> «ՔոնթուրԳլոբալ  Հիդրո Կասկադ» ՓԲԸ </t>
  </si>
  <si>
    <t>30.12.2030թ.</t>
  </si>
  <si>
    <t>3.24% և 0.25% պարտավճար</t>
  </si>
  <si>
    <t>հասարակ անտոկոս մուրհակ</t>
  </si>
  <si>
    <t>30.06.2050թ.</t>
  </si>
  <si>
    <t>30.12.2031թ.</t>
  </si>
  <si>
    <t>4.12% և 0.25% պարտավճար</t>
  </si>
  <si>
    <t>«Երևան Ջերմաէլեկտրակենտրոն» ՓԲԸ</t>
  </si>
  <si>
    <t xml:space="preserve">«Երևանի համակցված շոգեգազային ցիկլով էլեկտրակայանի (էներգաբլոկի) նախագծի իրականացում» </t>
  </si>
  <si>
    <t>20.03.2015թ. -20.03.2045թ.</t>
  </si>
  <si>
    <t>հասարակ անտոկոս մուրհակ և Ընկերությանը պատկանող հողամասը և դրա վրա կառուցված շինությունները</t>
  </si>
  <si>
    <t>«Օժանդակություն էներգահամակարգին»</t>
  </si>
  <si>
    <t>Համաշխարհային բանկ</t>
  </si>
  <si>
    <t>17.12.2008թ. -17.12.2022թ.</t>
  </si>
  <si>
    <t>«Հայկական ատոմային էլեկտրոկայան» ՓԲԸ</t>
  </si>
  <si>
    <t>Ֆրանսիա</t>
  </si>
  <si>
    <t>10.12.2008թ. -30.12.2035թ.</t>
  </si>
  <si>
    <t xml:space="preserve">ՀՀ կառավարության 11.06.2020թ.  N 953-Ն որոշում </t>
  </si>
  <si>
    <t>25.06.2022թ. -25.06.2032թ.</t>
  </si>
  <si>
    <t xml:space="preserve">Հայաստանի Հանրապետության տարածքում ատոմային էլեկտրակայանի շահագործման ժամկետի երկարաձգման աշխատանքների ֆինանսավորման </t>
  </si>
  <si>
    <t>10.01.2020թ. -10.07.2029թ.</t>
  </si>
  <si>
    <t xml:space="preserve">«Էներգետիկայի ոլորտի ֆինանսական առողջացում» </t>
  </si>
  <si>
    <t>15.11.2030թ. -15.11.2040թ.</t>
  </si>
  <si>
    <t>Հասարակ մուրհակներ, ՀԱԷԿ-ի սեփականություն հանդիսացող ակտիվները</t>
  </si>
  <si>
    <t>Հասարակ մուրհակներ, 11.07.2005թ. կնքված ենթավարկային համաձայնագրով ստանձնած պարտավորությունների ապահովման համար գրավադրված գույքը</t>
  </si>
  <si>
    <t>«Երքաղլույս» ՓԲԸ</t>
  </si>
  <si>
    <t>Երևանի քաղաքային լուսավորության ծրագիր</t>
  </si>
  <si>
    <t>16.10.2018թ. -16.04.2025թ.</t>
  </si>
  <si>
    <t xml:space="preserve">Ծրագիրն իրականացնողի կանոնադրությամբ նախատեսված Երևան քաղաքիարտաքին լուսավորության ցանցի շահագործման, հիմնանորագման և պահպանման ծրագրի իրականացման համար տրամադրվող ֆինանսական միջոցները </t>
  </si>
  <si>
    <t>«Նաիրիտ գործարան» ՓԲԸ*</t>
  </si>
  <si>
    <t xml:space="preserve">Պահանջի իրավունքի զիջման Համաձայնագիր
</t>
  </si>
  <si>
    <t>01.07.2018թ.</t>
  </si>
  <si>
    <t>Ընդամենը ՀՀ Էներգետիկայի ոլորտում տրամադրված վարկեր</t>
  </si>
  <si>
    <t>«Կարեն Դեմերճյանի անվան Երևանի մետրոպոլիտեն» ՓԲԸ (ՎԶԵԲ I)</t>
  </si>
  <si>
    <t>«Երևանի մետրոպոլիտենի վերականգնում» I ծրագիր (ՎԶԵԲ)</t>
  </si>
  <si>
    <t>Վերակառուցման և Զարգացման Եվրոպական  Բանկ (ՎԶԵԲ)</t>
  </si>
  <si>
    <t>16.04.2013թ. - 16.10.2024թ.</t>
  </si>
  <si>
    <t>6-ամսյա Եվրոibor+1</t>
  </si>
  <si>
    <t>«Կարեն Դեմերճյանի անվան Երևանի մետրոպոլիտեն» ՓԲԸ (ՎԶԵԲ II)</t>
  </si>
  <si>
    <t>«Երևանի մետրոպոլիտենի վերականգնում» II ծրագիր (ՎԶԵԲ)</t>
  </si>
  <si>
    <t>16.10.2013թ. -16.04.2027թ.</t>
  </si>
  <si>
    <t>«Կարեն Դեմերճյանի անվան Երևանի մետրոպոլիտեն» ՓԲԸ (ԵՆԲ I)</t>
  </si>
  <si>
    <t>«Երևանի մետրոպոլիտենի վերականգնում» I ծրագիր (ԵՆԲ)</t>
  </si>
  <si>
    <t xml:space="preserve">Եվրոպական Ներդրումային Բանկի (ԵՆԲ) </t>
  </si>
  <si>
    <t>16.10.2015թ. - 16.04.2027թ.</t>
  </si>
  <si>
    <t>«Կարեն Դեմերճյանի անվան Երևանի մետրոպոլիտեն» ՓԲԸ  (ԵՆԲ II)</t>
  </si>
  <si>
    <t>«Երևանի մետրոպոլիտենի վերականգնում» II ծրագիր (ԵՆԲ)</t>
  </si>
  <si>
    <t>16.04.2019թ. -16.10.2033թ.</t>
  </si>
  <si>
    <t>Ընդամենը «Կարեն Դեմերճյանի անվան Երևանի մետրոպոլիտեն» ՓԲԸ տրամադրված վարկեր</t>
  </si>
  <si>
    <t>ՀՀ կենտրոնական բանկ</t>
  </si>
  <si>
    <t>Տնտեսության կայունացման վարկավորման ծրագիր</t>
  </si>
  <si>
    <t>15.12.2012թ. 15.06.2026թ.</t>
  </si>
  <si>
    <t>6-ամսյա Լibor+4%</t>
  </si>
  <si>
    <t>ՀՀ գյուղատնտեսության ոլորտի աջակցում</t>
  </si>
  <si>
    <t>30.06.2024</t>
  </si>
  <si>
    <t>«Ավանդների փոխհատուցումը երաշխավորող հիմնադրամ» ՓԲԸ</t>
  </si>
  <si>
    <t>«Հայաստանի Հանրապետության առևտրային բանկերում ֆիզիկական անձանց բանկային ավանդների հատուցումը երաշխավորող համակարգի ամրապնդում»</t>
  </si>
  <si>
    <t>25.12.2005թ. -25.06.2045թ.</t>
  </si>
  <si>
    <t>«Ակբա-Կրեդիտ Ագրիկոլ Բանկ» ՓԲԸ Հյուսիս Արևմտյան</t>
  </si>
  <si>
    <t>«Հյուսիս-Արևմտյան շրջանների գյուղատնտեսական ծառայությունների ծրագիր»</t>
  </si>
  <si>
    <t>ԳԶՄՀ</t>
  </si>
  <si>
    <t>01.06.2008թ. -01.12.2037թ.</t>
  </si>
  <si>
    <t>«Ակբա-Կրեդիտ Ագրիկոլ Բանկ» ՓԲԸ Գյուղատնտեսության ծառ.</t>
  </si>
  <si>
    <t>«Գյուղատնտեսական ծառայությունների ծրագիր»</t>
  </si>
  <si>
    <t>15.10.2011թ.-15.04.2041թ.</t>
  </si>
  <si>
    <t>Հայաստանում գյուղական տարածքների տնտեսական զարգացման հիմնադրամ (FREDA)</t>
  </si>
  <si>
    <t>08.01.2008թ. Հայաստանի Հանրապետության և Գյուղատնտեսության զարգացման միջազգային հիմնադրամի (ԳԶՄՀ) միջև կնքված «Շուկայավարման հնարավորություն ֆերմերներին» ծրագրի Ֆինանսավորման Համաձայնագիր</t>
  </si>
  <si>
    <t>25.01.2018-25.01.2047թ.թ.</t>
  </si>
  <si>
    <t>02.09.2015թ. Հայաստանի Հանրապետության և Գյուղատնտեսության զարգացման միջազգային հիմնադրամի (ԳԶՄՀ) միջև կնքված «Շուկայավարման հնարավորություն ֆերմերներին» ծրագրի Ֆինանսավորման Համաձայնագիր</t>
  </si>
  <si>
    <t>25.01.2025-25.01.2039թ.թ.</t>
  </si>
  <si>
    <t>Ընդամենը ՀՀ կենտրոնական բանկ, այլ բանկեր և վարկային կազմակերպություններին տրամադրված վարկեր</t>
  </si>
  <si>
    <t>«Վանաձորի բաղնիքային տնտեսություն»</t>
  </si>
  <si>
    <t>«Աղետի գոտու վերականգնում»</t>
  </si>
  <si>
    <t>01.11.2026թ.</t>
  </si>
  <si>
    <t>Վարկի հաշվին կառուցված գույքը</t>
  </si>
  <si>
    <t>«Երևանի քաղաքային նոր աղբավայր» ՓԲԸ</t>
  </si>
  <si>
    <t>Երևանի կոշտ թափոններ  (ՎԶԵԲ-ի ծրագիր)</t>
  </si>
  <si>
    <t>16.04.2018թ. -16.10.2029թ.</t>
  </si>
  <si>
    <t>Ծրագրի շրջանակներում ձեռք բերվող ակտիվները</t>
  </si>
  <si>
    <t>Երևանի կոշտ թափոններ  (ԵՆԲ-ի ծրագիր)</t>
  </si>
  <si>
    <t xml:space="preserve">«Կոտայքի և Գեղարքունիքի ԿԿԹԿ» ՍՊԸ </t>
  </si>
  <si>
    <t>«Հայաստանի վերականգնվող էներգետիկայի հիմնադրամ</t>
  </si>
  <si>
    <t>Գյուղական կարողությունների ստեղծման ծրագրի համաֆինանսավորում</t>
  </si>
  <si>
    <t>25.12.2012թ. -31.12.2022թ.</t>
  </si>
  <si>
    <t>«Ռադիոիզոտոպների արտադրության կենտրոն» ՓԲԸ</t>
  </si>
  <si>
    <t xml:space="preserve">Լիբոր+4 </t>
  </si>
  <si>
    <t>«Ավտոմատիկա» ՓԲԸ</t>
  </si>
  <si>
    <t>15.12.2020թ.</t>
  </si>
  <si>
    <t>ք. Երևան, Թևոսյան 3/1 հասցեում գտնվող անշարժ գույք</t>
  </si>
  <si>
    <t>Գյուղատնտեսության վարկավորման ծրագիր</t>
  </si>
  <si>
    <t>ԳՖԿ ԾԻԳ (Գյուղատնտեսական տարածքների տնտեսական զարգացում ԳՏՏԶ) IFAD</t>
  </si>
  <si>
    <t>01.06.2015թ. 01.06.2044թ.</t>
  </si>
  <si>
    <t>ԳՖԿ ԾԻԳ (Գյուղական ձեռնարկությունների և փոքրածավալ առևտրային գյուղատնտեսության զարգացման ծրագիր ԳՁՓԱԳԶԾ) IDA</t>
  </si>
  <si>
    <t>15.12.2015թ. 15.06.2045թ.</t>
  </si>
  <si>
    <t xml:space="preserve">Շուկայական հնարավորություններ ֆերմերներին ծրագիր (ՇՀՖ) </t>
  </si>
  <si>
    <t>04.02.2018թ. 04.08.2057թ.</t>
  </si>
  <si>
    <t>«Դարդան» ՍՊԸ</t>
  </si>
  <si>
    <t>Համաշխարհային բանկի հաշվին ապրանքային վարկ</t>
  </si>
  <si>
    <t>31.07.2021թ.</t>
  </si>
  <si>
    <t>1. ՀՀ  Արմավիրի մարզ,  գ.Նորակերտ, Նորակերտի խճուղի 10 (վարչական շենք և այլ շինություններ), քաղ. Երևան, Աճառյան փողոց  42բ (կաթսայատան վերնահարկ, պահեստ և այլ շինություններ), շինարարական և այլ տրանսպորտային միջոցներ</t>
  </si>
  <si>
    <t>«Համո Բեկնազարյանի անվան «Հայֆիլմ» կինոստուդիա» ՓԲԸ</t>
  </si>
  <si>
    <t xml:space="preserve">Պահանջի իրավունքի զիջման համաձայնագիր
</t>
  </si>
  <si>
    <t>24.12.2025թ.</t>
  </si>
  <si>
    <t>«Դի Էնդ Էյջ Գրուպ»  ՍՊԸ</t>
  </si>
  <si>
    <t>Տնտեսության վարկավորման ծրագիր</t>
  </si>
  <si>
    <t>10.12.2024թ.-10.12.2026թ.</t>
  </si>
  <si>
    <t>2% մինչև 31/12/2023, 01/01/2024-ից- 8%</t>
  </si>
  <si>
    <t xml:space="preserve"> ՀՀ ք. Երևան, Փ. Բյուզանդի 15 հասցեում գտնվող հյուրանոցային համալիրը</t>
  </si>
  <si>
    <t>28.06.2027թ.</t>
  </si>
  <si>
    <t>2% մինչև 31/12/2023, 01/01/2024-ից - 10.4%</t>
  </si>
  <si>
    <t>Կանոնադրական կապիտալում սեփ. իրավունքով պատկանող բաժնեմասերը, ՀՀ ք. Երևան, Փ. Բյուզանդի 15 հասցեում գտնվող հյուրանոցային համալիրը</t>
  </si>
  <si>
    <t>Ընդամենը տնտեսության վարկավորման համար տարբեր կազմակերպություններին և ընկերություններին տրամադրված վարկեր</t>
  </si>
  <si>
    <t>04.06.2022թ.</t>
  </si>
  <si>
    <t>31.03.2025թ.</t>
  </si>
  <si>
    <t xml:space="preserve">Ընդամենը Կորոնավիրուսի (COVID-19) տնտեսական հետևանքների չեզոքացման հետ կապված </t>
  </si>
  <si>
    <t xml:space="preserve">«ԱԱԲ Պրոեկտ» ՍՊԸ </t>
  </si>
  <si>
    <t xml:space="preserve">«Կորսան Կորվիամ Կոնստրուկսինո» ԲԸ-ի կողմից չվճարված դրամական պահանջներ ունեցող ՀՀ կազմակերպություններին տրամադրվող բյուջետային վարկեր
</t>
  </si>
  <si>
    <t>15.06.2022-15.06.2025թթ.</t>
  </si>
  <si>
    <t>ՀՀ, Կոտայքի մարզ, Արամուսի բազալտի հանքավայրի արդյունահանման Արմենիուս տեղամասը հասցեում գտնվող հողամասի նկատմամբ ընդերքօգտագործման իրավունքը</t>
  </si>
  <si>
    <t>«Շին Թրեյդ» ՍՊԸ</t>
  </si>
  <si>
    <t>10.06.2022-10.06.2025թթ.</t>
  </si>
  <si>
    <t>ք. Երևան, Դավթաշեն 10-րդ փողոց 2/7 բնակելի տուն հասցեում գտնվող 517,54  քմ և 0.096578 հա մակերեսով հողամասը</t>
  </si>
  <si>
    <t>«ՄԼ Մայնինգ» ՍՊԸ</t>
  </si>
  <si>
    <t xml:space="preserve">   Մայր գումար՝                   15.06.2022 -15.06.2025                              Տոկոսագումար՝                 15.09.2020 -15.06.2025 </t>
  </si>
  <si>
    <t>IVECO TRAKKER 450 մակնիշի բեռնատար ինքնաթափ (2 հատ), MAN TGA-41 մակնիշի բեռնատար ինքնաթափ  (3 հատ)</t>
  </si>
  <si>
    <t>«Ժակշին» ՍՊԸ</t>
  </si>
  <si>
    <t xml:space="preserve">   Մայր գումար՝                   25.06.2022 -25.06.2025                              Տոկոսագումար՝                 25.09.2020 -25.06.2025</t>
  </si>
  <si>
    <t>Շինտեխնիկա` KAMAZ.
SINOTRUK 2011- 2 հատ</t>
  </si>
  <si>
    <t>«Բիզնես Ալտերնատիվ» ՍՊԸ</t>
  </si>
  <si>
    <t xml:space="preserve">   Մայր գումար՝                   10.06.2022 -10.06.2025                              Տոկոսագումար՝                 10.09.2020 -10.06.2025  </t>
  </si>
  <si>
    <t>Շինտեխնիկա՝ YARI ROMORK T-MAX</t>
  </si>
  <si>
    <t>«Քեյ դի Էյջ» ՍՊԸ</t>
  </si>
  <si>
    <t>Ավտոմեքենա՝ MERCEDES-BENZ E35O</t>
  </si>
  <si>
    <t>«Ռաֆայել» ՍՊԸ</t>
  </si>
  <si>
    <t xml:space="preserve">   Մայր գումար՝                   10.07.2022 -10.07.2025                              Տոկոսագումար՝                 10.10.2020 -10.07.2025</t>
  </si>
  <si>
    <t>Վիբրացիոն գլդոն և հողամաս</t>
  </si>
  <si>
    <t>«Միրադա» ՍՊԸ</t>
  </si>
  <si>
    <t xml:space="preserve">   Մայր գումար՝                   25.06.2022 -25.06.2025                              Տոկոսագումար՝                 25.09.2020 -25.06.2025    </t>
  </si>
  <si>
    <t xml:space="preserve">ք. Երևան,  Քրիստափորի փողոց 1/3 տարածք հասարակական նշանակության շինություն </t>
  </si>
  <si>
    <t>Մայր գումար՝                   15.07.2022 -15.07.2025                              Տոկոսագումար՝                 15.10.2020 -15.07.2025</t>
  </si>
  <si>
    <t>«Ավետիք Սարգսյան» ԱՁ</t>
  </si>
  <si>
    <t>Կռազ-ցիստեռն</t>
  </si>
  <si>
    <t>«Նաիրիի ՃՇՇ» ԲԲԸ</t>
  </si>
  <si>
    <t xml:space="preserve">  Մայր գումար՝                   25.06.2022 -25.06.2025                              Տոկոսագումար՝                 25.09.2020 -25.06.2025 </t>
  </si>
  <si>
    <t>Շինտեխնիկա՝ZIL MMZ-45021 2 հատ
ԳՐԵՅԴԵՐ 2 հատ</t>
  </si>
  <si>
    <t>«Կամուրջշին» ՓԲԸ</t>
  </si>
  <si>
    <t xml:space="preserve"> Մայր գումար՝                   15.07.2022 -15.07.2025                              Տոկոսագումար՝                 15.10.2020 -15.07.2025</t>
  </si>
  <si>
    <t>Սարքավորումներ և շինտեխնիկա, մեքենաներ</t>
  </si>
  <si>
    <t>«Կամա» ՍՊԸ</t>
  </si>
  <si>
    <t xml:space="preserve">   Մայր գումար՝                   10.07.2022 -10.07.2025                              Տոկոսագումար՝                 10.10.2020 -10.07.2025 </t>
  </si>
  <si>
    <t>2 հատ SHACMAN տեսակի շինտեխնիկա</t>
  </si>
  <si>
    <t>«Ինքնաթափ» ՍՊԸ</t>
  </si>
  <si>
    <t xml:space="preserve">   Մայր գումար՝                   30.07.2022 -30.07.2025                              Տոկոսագումար՝                 30.10.2020 -30.07.2026</t>
  </si>
  <si>
    <t>CAT մակնիշի ինքնաթափ, hողամաս, TOYOTA</t>
  </si>
  <si>
    <t>«Արարատ Թորոսյան» ԱՁ</t>
  </si>
  <si>
    <t>2 հողամաս</t>
  </si>
  <si>
    <t>«Էս ընդ Եյ Մայնինգ» ՍՊԸ</t>
  </si>
  <si>
    <t xml:space="preserve">   Մայր գումար՝                   25.08.2022 -25.08.2025                              Տոկոսագումար՝                 25.11.2020 -25.09.2025</t>
  </si>
  <si>
    <t xml:space="preserve"> Շին.տեխնիկա` 11 հատ</t>
  </si>
  <si>
    <t>«Ապառաժ» ՍՊԸ</t>
  </si>
  <si>
    <t>Շինտեխնիկա և ավտոմեքենա՝ 2 հատ</t>
  </si>
  <si>
    <t>«Տնա-Շին Աշոտ» ՍՊԸ</t>
  </si>
  <si>
    <t xml:space="preserve"> Մայր գումար՝                   25.09.2022 -25.09.2025                              Տոկոսագումար՝                 25.12.2020 -25.09.2025</t>
  </si>
  <si>
    <t>5 հատ SCANIA &lt;Քաջ Տրանս&gt; ՍՊԸ-ի</t>
  </si>
  <si>
    <t>«Դենտալ Իմպորտ» ՍՊԸ</t>
  </si>
  <si>
    <t>Մայր գումար՝                   20.11.2022 -20.11.2025                              Տոկոսագումար՝                 20.02.2021 -20.11.2025</t>
  </si>
  <si>
    <t>թվով 21 շինարարական տեխնիկա</t>
  </si>
  <si>
    <t>«Սուարդի» ԲԸ Հ/Մ</t>
  </si>
  <si>
    <t>Մայր գումար՝                   05.11.2022 -05.11.2025                              Տոկոսագումար՝                 05.02.2021 -05.11.2025</t>
  </si>
  <si>
    <t>&lt;&lt;Աննա Ավետիսյան&gt;&gt;ԱՁ</t>
  </si>
  <si>
    <t>2 հատ վերամբարձ մեքենա և ասֆալտ փռող մեքենա</t>
  </si>
  <si>
    <t>«Քաջ-Տրանս» ՍՊԸ</t>
  </si>
  <si>
    <t xml:space="preserve">Մայր գումար՝                   15.12.2022 -15.12.2025                              Տոկոսագումար՝                 15.03.2021 -15.12.2025 </t>
  </si>
  <si>
    <t>1 հատ SCANIA</t>
  </si>
  <si>
    <t>Ընդամենը տրամադրված վարկերի և ենթավարկերի կառուցվածքը ըստ իրենց արժույթների</t>
  </si>
  <si>
    <t>Միջպետական վարկ</t>
  </si>
  <si>
    <t>2025թ.</t>
  </si>
  <si>
    <t>Կոտայքի և Գեղարքունիքի մարզերի կոշտ թափոնների կառավարման ծրագիր</t>
  </si>
  <si>
    <t>25.06.2023թ. -25.06.2033թ.</t>
  </si>
  <si>
    <t>16.10.2021թ. -16.10.2033թ.</t>
  </si>
  <si>
    <t>15.11.2012թ. Անշարժ Գույքի Գրավի Պայամանգրի համաձայն` («Պետական գույքի գույքագրման և գնահատման գործակալություն» ՊՈԱԿ-ի կողմից 07.06.2012թ. կազմված գնահատման հաշվետվության համաձայն գրավի առարկայի շուկայական արժեքը 2012թ. գնահատման ժամանակահատվածի դրությամբ կազմել է 280,511,000 ՀՀ դրամ, կադաստրային արժեքը` համաձայն ՀՀ կառավարությանն առընթեր անշարժ գույքի կադաստրի պետական կոմիտեի 14.11.2012թ. N ԱՏ-12/11/2012-1-0280 տեղեկանքի կազմում է հա 14,646,180 ՀՀ դրամ) Աջափնյակ Հալաբյան փողոց թիվ 38/7 հասցեում գտնվող հողատարածքը (1.34999 հա -0.9225=0.42749 հա), ապագայում կառուցվելիք անշարժ գույքը  և «ԱյԲիԷյ մոլեկուլյար» կազմակերպությունից ձեռք բերվելիք «Ցիկլոն 18/18» ցիկլոտրոնը,ինչպես նաև ապագայում ձեռք բերվելիք սարքավորումները` դրանց արժեքը կանոնադրական կապիտալ ներդրումից հետո: Հայաստանի Հանրապետության առողջապահության նախարարին` Հայաստանի Հանրապետության օրենսդրությամբ սահմանված կարգով ապահովել ընկերության կանոնադրական կապիտալի ավելացումը՝ սարքավորումների ձեռքբերման և մոնտաժման աշխա¬¬տանքների արժեքի չափով, լրացուցիչ բաժնետոմսեր տեղաբաշխելու միջոցով</t>
  </si>
  <si>
    <t xml:space="preserve">Տեղեկանք </t>
  </si>
  <si>
    <t>Պրինցիպալը</t>
  </si>
  <si>
    <t>Բենեֆիցարը</t>
  </si>
  <si>
    <t>Երաշխիքի մարման ամսաթիվը</t>
  </si>
  <si>
    <t>Երաշխիքի գումարը /դրամ/</t>
  </si>
  <si>
    <t>«ԱՐՄՍՎԻՍԲԱՆԿ» ՓԲԸ</t>
  </si>
  <si>
    <t>Ընդամենը</t>
  </si>
  <si>
    <t>Գերմանիա (KfW)</t>
  </si>
  <si>
    <t xml:space="preserve">ՀՀ կառավարության 25.03.2021թ.  N 415-Ն որոշում </t>
  </si>
  <si>
    <t>1.404%                   1.056%</t>
  </si>
  <si>
    <t>16.04.2023թ.  16.10.2030թ.</t>
  </si>
  <si>
    <t>«ՀԱՅԱՍՏԱՆԻ ԶԱՐԳԱՑՄԱՆ և ՆԵՐԴՐՈՒՄՆԵՐԻ» ԿՈՐՊՈՐԱՑԻԱ ՈՒՎԿ ՓԲԸ</t>
  </si>
  <si>
    <t>Երաշխիքի գծով պարտավորության մնացորդ /դրամ/</t>
  </si>
  <si>
    <t>&lt;&lt; Երևանի  ավտոբուս&gt;&gt; ՓԲԸ</t>
  </si>
  <si>
    <t>Երևանի քաղաքային ավտոբուսներ ծրագիր</t>
  </si>
  <si>
    <t>16.04.2025թ.-16.10.2036թ.</t>
  </si>
  <si>
    <t>SOFR</t>
  </si>
  <si>
    <t>Գրավի առարկան հանդիսանալու է ձեռք վբերված հիմանկան միջոցները</t>
  </si>
  <si>
    <t>Ենթավարկի, բյուջետային վարկի, պայմանագրով հանձնված պարտավորության մարման ժամկետը</t>
  </si>
  <si>
    <t>01.07.2023-20.05.2033թ.թ.</t>
  </si>
  <si>
    <t>10.06.2023-08.11.2031թ.թ.</t>
  </si>
  <si>
    <t>10.06.2023-19.03.2033թ.թ.</t>
  </si>
  <si>
    <t>10.06.2023-03.09.2029թ.թ.</t>
  </si>
  <si>
    <t>Գյուղատնտեսության Զարգացման Միջազգային Հիմնադրամ</t>
  </si>
  <si>
    <t>Ենթակառուցվածքների և գյուղական ֆինանսավորման աջակցություն</t>
  </si>
  <si>
    <t>30.06.2025թ. 31.12.2044թ.</t>
  </si>
  <si>
    <t>Ենթավարկային պայմանագրի կնքման ամսաթիվը և համարը</t>
  </si>
  <si>
    <t>07.10.2009թ.</t>
  </si>
  <si>
    <t>25.06.1999թ.</t>
  </si>
  <si>
    <t>13.03.2015թ.</t>
  </si>
  <si>
    <t>12.03.2016թ.</t>
  </si>
  <si>
    <t>27.05.2016թ.</t>
  </si>
  <si>
    <t>18.11.2011թ.</t>
  </si>
  <si>
    <t>02.02.2015թ.</t>
  </si>
  <si>
    <t>11.08.2015թ.</t>
  </si>
  <si>
    <t>14.08.2015թ.</t>
  </si>
  <si>
    <t>06.02.2015թ.</t>
  </si>
  <si>
    <t>30.11.1999թ.</t>
  </si>
  <si>
    <t>12.05.2005թ.</t>
  </si>
  <si>
    <t>04.05.2007թ.</t>
  </si>
  <si>
    <t>12.07.2004թ.</t>
  </si>
  <si>
    <t>30.07.2012թ.</t>
  </si>
  <si>
    <t>21.06.2010թ.</t>
  </si>
  <si>
    <t>20.12.16թ. Ենթավարկային պայմանագիր</t>
  </si>
  <si>
    <t>11.07.2005թ.</t>
  </si>
  <si>
    <t xml:space="preserve">16.02.2004թ.  N4(48)/CP-2004 </t>
  </si>
  <si>
    <t xml:space="preserve"> 24.02.2004թ. N 1(01)CP-2004 վարկային պայմանագիր</t>
  </si>
  <si>
    <t>22.06.2015թ.  N 6/2015</t>
  </si>
  <si>
    <t>22.06.2016թ.</t>
  </si>
  <si>
    <t>14.06.2016թ.</t>
  </si>
  <si>
    <t>13.07.2010թ.</t>
  </si>
  <si>
    <t>30.05.2013թ.</t>
  </si>
  <si>
    <t>03.05.2011թ.</t>
  </si>
  <si>
    <t>09.02.2015թ.</t>
  </si>
  <si>
    <t xml:space="preserve">08.07.2009թ. Ֆինանսական գործակալության պայմանգիր և 21.02.11թ. Համաձայնագիր </t>
  </si>
  <si>
    <t>12.12.2012թ. Ֆինանսական գործակալության պայմանգիր KFW- AGRO</t>
  </si>
  <si>
    <t>13.01.1998թ. Սուբսիդավորմամբ ֆինանսավորման պայմանագիր</t>
  </si>
  <si>
    <t>11.01.2002թ.ՀԳՓԲ սուբսիդավորման համաձայնագիր</t>
  </si>
  <si>
    <t>28.07.2009թ.</t>
  </si>
  <si>
    <t>02.09.2015թ.</t>
  </si>
  <si>
    <t>05.05.2006         թիվ 1/2006</t>
  </si>
  <si>
    <t>22.12.2017թ.</t>
  </si>
  <si>
    <t>29.12.2017թ.</t>
  </si>
  <si>
    <t>15.02.2018թ.</t>
  </si>
  <si>
    <t xml:space="preserve">15.11.2012թ. </t>
  </si>
  <si>
    <t>09.07.2011թ.  N 1/2011</t>
  </si>
  <si>
    <t>08.11.2012թ.  N 6/2012</t>
  </si>
  <si>
    <t>19.03.2014թ.  N 3/2014</t>
  </si>
  <si>
    <t>03.09.2015թ.   N 3/2015</t>
  </si>
  <si>
    <t>28.12.2015թ. N 11/2015</t>
  </si>
  <si>
    <t>ՀՀ և Զարգացման միջազգային ընկերակցության միջև 28.01.2005թ. կնքված N 653-AM փոխառության համաձայնագիր</t>
  </si>
  <si>
    <t>ՀՀ և Զարգացման միջազգային ընկերակցության միջև 20.07.2005թ. կնքված N 4095-AM փոխառության համաձայնագիր</t>
  </si>
  <si>
    <t>Հայաստանի Հանրապետության (ԳՖԿ ԾԻԳ ՊՀ) կողմից օգտագործված փոխառությունների համաձայնագիր</t>
  </si>
  <si>
    <t xml:space="preserve"> ԳԶՄՀ միջև  12.11.2014թ-ին կնքված &lt;&lt;Ենթակառուցվածքների և գյուղական ֆինանսավորման աջակցություն&gt;&gt;  համաձայնագիր</t>
  </si>
  <si>
    <t xml:space="preserve">29.12.2015թ. </t>
  </si>
  <si>
    <t>06.10.11թ. Պարտքի մարման համաձայնագիր</t>
  </si>
  <si>
    <t>Պահանջի իրավունքի զիջման պայմանագիր 27.12.2016թ.</t>
  </si>
  <si>
    <t>31.03.2020թ
16/310320-1 ֆինանսական գործակալության պայմանագիր, 02.06.2020թ. Փոփոխություններ և լրացումներ կատարելու մասին համաձայնագիր</t>
  </si>
  <si>
    <t xml:space="preserve">25.12.2020թ. Փոխառության պայմանագիր Н420-20 ( ՀՀ կառավարության 27.05.202թ.   854-Լ որոշում, ՀՀ կառավարության 02․07․2020թ․ 1094-Ն որոշում, ՀՀ կառավարության 27.07.2020թ. 1233-Ն որոշում)            </t>
  </si>
  <si>
    <t xml:space="preserve">ՀՀ կառավարության 09.04.2020թ. թիվ 727-Ն որոշում                 </t>
  </si>
  <si>
    <t xml:space="preserve">ՀՀ կառավարության 09.04.2020թ. թիվ 727-Ն որոշում                        </t>
  </si>
  <si>
    <t xml:space="preserve">ՀՀ կառավարության 09.04.2020թ. թիվ 727-Ն որոշում                         </t>
  </si>
  <si>
    <t>ՀՀ կառավարության 09.04.2020թ. թիվ 727-Ն որոշում</t>
  </si>
  <si>
    <t>1993-2020թթ</t>
  </si>
  <si>
    <t>«ԻՆԵԿՈԲԱՆԿ» ՓԲԸ</t>
  </si>
  <si>
    <t>«ԻՋԵՎԱՆԻ ԳԻՆՈՒ, ԿՈՆՅԱԿԻ ԳՈՐԾԱՐԱՆ» ՓԲԸ</t>
  </si>
  <si>
    <t>Sofr+ փոփոխական մարժա</t>
  </si>
  <si>
    <t>Sofr + փոփոխական մարժա և 0.25% պարտավճար</t>
  </si>
  <si>
    <t>30.12.2023թ.</t>
  </si>
  <si>
    <t>«ՊՌՈՇՅԱՆԻ ԿՈՆՅԱԿԻ ԳՈՐԾԱՐԱՆ» ՍՊԸ</t>
  </si>
  <si>
    <t>«ԵՐԱՍԽԻ ԳԻՆՈՒ ԳՈՐԾԱՐԱՆ» ՍՊԸ</t>
  </si>
  <si>
    <t>«ՄԱՊ» ՓԲԸ</t>
  </si>
  <si>
    <t>«ԱՐԱՐԱՏԻ ԳԻՆՈՒ ԳՈՐԾԱՐԱՆ» ՍՊԸ</t>
  </si>
  <si>
    <t>«ԷՎՈԿԱԲԱՆԿ» ՓԲԸ</t>
  </si>
  <si>
    <t>«ԱՐԴՇԻՆԲԱՆԿ» ԲԲԸ</t>
  </si>
  <si>
    <t>28.02.2026թ.</t>
  </si>
  <si>
    <t>02.03.2026թ.</t>
  </si>
  <si>
    <t>ՀՀ կառավարության գործող երաշխիքները</t>
  </si>
  <si>
    <t>The existing guarantees of the Government of RA</t>
  </si>
  <si>
    <t>Действующие гарантии Правительства РА</t>
  </si>
  <si>
    <t>ՆԵՐՔԻՆ ԵՐԱՇԽԻՔՆԵՐ</t>
  </si>
  <si>
    <t>DOMESTIC GUARANTEES</t>
  </si>
  <si>
    <t>ВНУТРЕННИЕ ГАРАНТИИ</t>
  </si>
  <si>
    <t>այդ թվում՝</t>
  </si>
  <si>
    <t xml:space="preserve">  of which</t>
  </si>
  <si>
    <t xml:space="preserve">       в том числе</t>
  </si>
  <si>
    <t>«ԱՐՏԱՇԱՏ-ՎԻՆԿՈՆ» ՓԲԸ</t>
  </si>
  <si>
    <t>"ARTASHAT-VINCON" CJSC</t>
  </si>
  <si>
    <t>"ArmSwissBank" CJSC</t>
  </si>
  <si>
    <t>«АРТАШАТ-ВИНКОН» ЗАО</t>
  </si>
  <si>
    <t>«Армсвиссбанк» ЗАО</t>
  </si>
  <si>
    <t>"YERASKH WINE FACTORY" LLC</t>
  </si>
  <si>
    <t>«ԳԵՏԱՓԻ ԳԻՆՈՒ ԿՈՆՅԱԿԻ ԳՈՐԾԱՐԱՆ» ՍՊԸ</t>
  </si>
  <si>
    <t>"GETAP WINE AND BRANDY FACTORY" LLC</t>
  </si>
  <si>
    <t>"VEDI ALCO" CJSC</t>
  </si>
  <si>
    <t>«ВЕДИ АЛКО» ЗАО</t>
  </si>
  <si>
    <t>"Development And Investments Corporation of Armenia" CJSC</t>
  </si>
  <si>
    <t>«Корпорация развития и инвестиций Армении» ЗАО</t>
  </si>
  <si>
    <t>"PROSHYAN BRANDY FACTORY" LLC</t>
  </si>
  <si>
    <t>"IJEYAN WINE AND BRANDY FACTORY" CJSC</t>
  </si>
  <si>
    <t>"Inecobank" CJSC</t>
  </si>
  <si>
    <t>«ИДЖЕВАНСКИЙ ВИННОКОНЬЯЧНЫЙ ЗАВОД» ЗАО</t>
  </si>
  <si>
    <t>«Инекобанк» ЗАО</t>
  </si>
  <si>
    <t>"ARARAT WINE FACTORY CO.LTD</t>
  </si>
  <si>
    <t>"MAP" COMPANY</t>
  </si>
  <si>
    <t>"Evocabank" CJSC</t>
  </si>
  <si>
    <t>«МАП»  ЗАО</t>
  </si>
  <si>
    <t>«Эвокабанк» ЗАО</t>
  </si>
  <si>
    <t>"Ardshinbank" CJSC</t>
  </si>
  <si>
    <t>«Ардшинбанк» ЗАО</t>
  </si>
  <si>
    <t>ՀՀ կառավարության կողմից երաշխիքների սպասարկման գծով կատարված վճարումներ՝ պայմանավորված պրինցիպալի կողմից իր վճարային պարտավորությունների չկատարմամբ</t>
  </si>
  <si>
    <t>Payments made by the Government of the Republic of Armenia on guarantees' servicing, due to default on payment obligations by the principal</t>
  </si>
  <si>
    <t>Платежи, осуществленные Правительством Республики Армения по обслуживанию предоставленных гарантий, обусловленные невыполнением своих платежных обязательств принципалом</t>
  </si>
  <si>
    <t>20.03.2026թ.</t>
  </si>
  <si>
    <t>23.03.2026թ.</t>
  </si>
  <si>
    <t>«ՎԵԴԻ-ԱԼԿՈ» ՓԲԸ</t>
  </si>
  <si>
    <t>26.03.2026թ.</t>
  </si>
  <si>
    <t xml:space="preserve">Երաշխիքի գումարը /դրամ/ Guarantee amount /AMD/             Сумма гарантии /драм РА/ </t>
  </si>
  <si>
    <t>Երաշխիքի գծով պարտավորության մնացորդ /ՀՀ դրամ/                                Balance of guarantee obligation /AMD/  Остаток гарантийных обязательств /драм РА/</t>
  </si>
  <si>
    <t>«Կորսան Կորվիամ Կոնստրուկսինո» ԲԸ-ի  հետ կապված և այլ վարկեր</t>
  </si>
  <si>
    <t>11 հատ տրանսպորտային միջոց և 19 հատ շին.տեխնիկա</t>
  </si>
  <si>
    <t>Անշարժ և շարժական գույք, բաժնետոմսեր</t>
  </si>
  <si>
    <t>«Սահակյանշին» ՓԲԸ</t>
  </si>
  <si>
    <t>Բյուջետային վարկ</t>
  </si>
  <si>
    <t>25.09.2023թ.</t>
  </si>
  <si>
    <t>2026թ.</t>
  </si>
  <si>
    <t>Գրավով՝ քաղ. Երևան, Մալաթիա-Սեբաստիա, Ծիծեռնակաբերդի խճուղի 39/1 հասցեում գտնվող հողամասը</t>
  </si>
  <si>
    <t>16.08.2027թ.</t>
  </si>
  <si>
    <t>Վարկի հաշվին ձեռք բերված հայկական կոնյակի սպիրտ</t>
  </si>
  <si>
    <t>04.09.2027թ.</t>
  </si>
  <si>
    <t>08.09.2027թ.</t>
  </si>
  <si>
    <t>25.09.2027թ.</t>
  </si>
  <si>
    <t>ՀՀ պետական բյուջե</t>
  </si>
  <si>
    <t>1.8% և 0.25% պարտավճար</t>
  </si>
  <si>
    <t>ՌԴ կառավարություն</t>
  </si>
  <si>
    <t xml:space="preserve">Կայունացման դեպոզիտ հաշիվ </t>
  </si>
  <si>
    <t>«Համահայկական ֆոնդ» փակ ոչ հրապարակային պայմանագրային ներդրումային ֆոնդ</t>
  </si>
  <si>
    <t>2028թ.</t>
  </si>
  <si>
    <t xml:space="preserve">«ՋԻ ԹԻ ԲԻ ՓՐՈՓՐԹԻՍ» ՍՊԸ-ին պատկանող Արարատի մարզի Երասխ բնակավայրում գտնվող գույքը և «ՅՈՒՆԻՈՆ-ՍԵՐՎԻՍ» ՍՊԸ-ին պատկանող՝ քաղ. Երևան, Արաբկիր, Կոմիտասի պողոտա 53, 53/9 և 53/10 հասցեներում գտնվող անշարժ գույքերը </t>
  </si>
  <si>
    <t>«Հայ-Ալմաստ» ՓԲԸ</t>
  </si>
  <si>
    <t>Կայունացման դեպոզիտ հաշիվ (եվրոբոնդ)</t>
  </si>
  <si>
    <t xml:space="preserve">   ՀՀ կառավարության 26․03․2020թ․ 356-Լ որոշում, ՀՀ կառավարության 31․03․2020թ․ 416-Լ որոշում           Գործակալական պայմանագիր 12.05.2020թ. 16/120520-1</t>
  </si>
  <si>
    <t xml:space="preserve">      ՀՀ կառավարության 26․03․2020թ․ 356-Լ որոշում, ՀՀ կառավարության 31․03․2020թ․ 416-Լ որոշում,          Գործակալական պայմանագիր 22.04.2020թ. 16/220420-1      </t>
  </si>
  <si>
    <t xml:space="preserve">      ՀՀ կառավարության 26․03․2020թ․ 356-Լ որոշում, ՀՀ կառավարության 25․03․2020թ․ 417-Լ որոշում,          Գործակալական պայմանագիր 05.04.2021թ. 16.1/050421-1      </t>
  </si>
  <si>
    <t>07.04.2010թ. N 01 կնքված պահանջի իրավունքի զիջման մասին պայմանագիր, 27.12.2017թ. կնքված պայմանագրի փոփոխություն` Համաձայնագիր N 1, 17.04.2019թ. կնքված պայմանագրի փոփոխություն` Համաձայնագիր N 2, 09.04.2021թ. Կնքված, հաշտության համաձայնագիր, 31.05.2023թ. կնքված Հաշտության համաձայնագիր</t>
  </si>
  <si>
    <t>Վարկի տեսակը</t>
  </si>
  <si>
    <t>Վարկի կարգավիճակ</t>
  </si>
  <si>
    <t>Ենթավարկ</t>
  </si>
  <si>
    <t>իրատեսական</t>
  </si>
  <si>
    <t>Համաֆինանսավորում</t>
  </si>
  <si>
    <t>անիրատեսական</t>
  </si>
  <si>
    <t xml:space="preserve">Տնտեսության կայունացման վարկավորման ծրագիր </t>
  </si>
  <si>
    <t>Վարկային պայմանագրի կնքման ամսաթիվը և համարը</t>
  </si>
  <si>
    <t>30.01.2009թ.               BMZ ID 2007.66.253</t>
  </si>
  <si>
    <t xml:space="preserve">Հիմնական միջոցներ </t>
  </si>
  <si>
    <t>21.12.1998թ.</t>
  </si>
  <si>
    <t>08.04.2015թ.</t>
  </si>
  <si>
    <t>17.06.2021թ. N9/2021</t>
  </si>
  <si>
    <t>09.12.2014թ.</t>
  </si>
  <si>
    <t>16.03.2015թ.</t>
  </si>
  <si>
    <t>11.12.2015թ.</t>
  </si>
  <si>
    <t>01.06.2011թ.</t>
  </si>
  <si>
    <t>06.08.2014թ.</t>
  </si>
  <si>
    <t>05.09.2014թ.</t>
  </si>
  <si>
    <t>30.03.1999թ.             N 3175 AM</t>
  </si>
  <si>
    <t>18.02.1999թ.             ARM-P1</t>
  </si>
  <si>
    <t xml:space="preserve">20.07.2005թ.             </t>
  </si>
  <si>
    <t>09.12.2005թ.   16.05.2008թ.   16.03.2010թ.</t>
  </si>
  <si>
    <t>29.03.2005թ.              ARM-P2</t>
  </si>
  <si>
    <t>«Երևան ՋԷԿ» ՓԲԸ-ի հետ 16.02.2004թ. կնքված N 4(48)/CP-2004 պարտքի փոխանցման պայմանագիր</t>
  </si>
  <si>
    <t>29.12.1995թ.</t>
  </si>
  <si>
    <t>05.02.2015թ.</t>
  </si>
  <si>
    <t>12.05.2016թ.</t>
  </si>
  <si>
    <t>10.03.2010թ.</t>
  </si>
  <si>
    <t>03.08.2012թ.</t>
  </si>
  <si>
    <t>10.08.2010թ.</t>
  </si>
  <si>
    <t>02.05.2013թ.    10.05.2013թ.</t>
  </si>
  <si>
    <t xml:space="preserve">«Քաղաքային ջեռուցման ծրագիր»           ՀՀ կառավարության 16.02.2012թ. N174-Ն որոշում </t>
  </si>
  <si>
    <t>«Հեր-Հեր» հիդրոէլեկտրակայան» ՓԲԸ</t>
  </si>
  <si>
    <t>18.12.2019թ.</t>
  </si>
  <si>
    <t>05.08.2025թ.</t>
  </si>
  <si>
    <t>21.01.2027թ․</t>
  </si>
  <si>
    <t>30.01.2027թ․</t>
  </si>
  <si>
    <t>02.12.2024թ. N2/2024</t>
  </si>
  <si>
    <t>25.12.2026թ. -25.12.2036թ.</t>
  </si>
  <si>
    <t>«Կարեն Դեմիրճյանի անվան մարզահամերգային համալիր» ՓԲԸ</t>
  </si>
  <si>
    <t>Վարկային պայմանագիր</t>
  </si>
  <si>
    <t>05.03.2027թ․</t>
  </si>
  <si>
    <t>«ԱՄԻՕ» ՓԲԸ</t>
  </si>
  <si>
    <t>04.03.2027թ․</t>
  </si>
  <si>
    <t>«ПРОШЯНСКИЙ КОНЬЯЧНЫЙ ЗАВОД» ЗАО</t>
  </si>
  <si>
    <t>«ЕРАСХСКИЙ ВИННЫЙ ЗАВОД» ЗАО</t>
  </si>
  <si>
    <t>«ГЕТАПСКИЙ ВИННОКОНЬЯЧНЫЙ ЗАВОД» ЗАО</t>
  </si>
  <si>
    <t>«Араратский  винный  завод» ПАО</t>
  </si>
  <si>
    <t>«ԱՐԴՇԻՆԲԱՆԿ» ՓԲԸ</t>
  </si>
  <si>
    <t>" Ardshinbsnk" CJSC</t>
  </si>
  <si>
    <t>"БАГРАТ ГРУПП"" ООО</t>
  </si>
  <si>
    <t xml:space="preserve"> "Bagrat Group" LLC</t>
  </si>
  <si>
    <t>«ПРОШЯНСКИЙ КОНЬЯЧНЫЙ ЗАВОД»  ООО</t>
  </si>
  <si>
    <t> "AMIO BANK" CJSC</t>
  </si>
  <si>
    <t>«АМИО БАНК » ЗАО</t>
  </si>
  <si>
    <t>«ԲԱԳՐԱՏ ԳՐՈՒՊ» ՍՊԸ</t>
  </si>
  <si>
    <t>15.12.2026թ. -15.06.2029թ.</t>
  </si>
  <si>
    <t xml:space="preserve">ՀՀ կառավարության 21.11.2024թ.  N 1840-Ն որոշում </t>
  </si>
  <si>
    <t>«Արտաշատի ԲԿ» ՓԲԸ*</t>
  </si>
  <si>
    <t xml:space="preserve">«Հայաստանի էներգետիկ անցումն ապահովող ծրագիր» </t>
  </si>
  <si>
    <t>08.08.2024թ.</t>
  </si>
  <si>
    <t>03.02.2025թ.</t>
  </si>
  <si>
    <t xml:space="preserve">25.12.2024թ. Թիվ 5/2024  </t>
  </si>
  <si>
    <t>Մարված</t>
  </si>
  <si>
    <t>2027թ.</t>
  </si>
  <si>
    <t>Ճանաչվել է սնանկ</t>
  </si>
  <si>
    <t>10.12.2024թ.</t>
  </si>
  <si>
    <t>16.12.2026թ.</t>
  </si>
  <si>
    <t>02.02.2024թ․    N 1/2024</t>
  </si>
  <si>
    <t>Ծրագրի անվանումը</t>
  </si>
  <si>
    <t>Վարկի աղբյուրը / Դոնոր կազմակերպությունը</t>
  </si>
  <si>
    <t>Վարկի, ենթավարկի տրամադրման հիմքը</t>
  </si>
  <si>
    <t>DMFAS</t>
  </si>
  <si>
    <t>30.01.2009թ.               BMZ ID 2007.66.253 Վարկային պայմանագիր</t>
  </si>
  <si>
    <t>OL-KFW-30012009</t>
  </si>
  <si>
    <t>21.12.1998թ. Վարկային պայմանագիր</t>
  </si>
  <si>
    <t>OL-KFW-2112199</t>
  </si>
  <si>
    <t>09.12.2014թ. Վարկային պայմանագիր</t>
  </si>
  <si>
    <t>OL-09122014</t>
  </si>
  <si>
    <t>OL-09122014-1</t>
  </si>
  <si>
    <t>16.03.2015թ. Վարկային պայմանագիր</t>
  </si>
  <si>
    <t>OL-EIB-84379</t>
  </si>
  <si>
    <t>OL-11122015</t>
  </si>
  <si>
    <t>OL-11122015-AMD</t>
  </si>
  <si>
    <t>01.06.2011թ. Վարկային պայմանագիր</t>
  </si>
  <si>
    <t>OL-IBRD-80550</t>
  </si>
  <si>
    <t>OL-IBRD-39-AMD</t>
  </si>
  <si>
    <t>06.08.2014թ. Վարկային պայմանագիր</t>
  </si>
  <si>
    <t>OL-IBRD-83880</t>
  </si>
  <si>
    <t>OL-83880-AMD</t>
  </si>
  <si>
    <t>08.04.2015թ.Վարկային պայմանագիր</t>
  </si>
  <si>
    <t>OLIBRD52BEC</t>
  </si>
  <si>
    <t>OL-52BEC-AMD</t>
  </si>
  <si>
    <t>OLIBRD52GEK</t>
  </si>
  <si>
    <t>OL-52GEK-AMD</t>
  </si>
  <si>
    <t>08.08.2024թ. Վարկային պայմանագիր</t>
  </si>
  <si>
    <t>OL-IBRD-9681</t>
  </si>
  <si>
    <t>05.09.2014թ. Վարկային պայմանագիր</t>
  </si>
  <si>
    <t>OL-ADB-3150</t>
  </si>
  <si>
    <t>OL-ADB-3150-G</t>
  </si>
  <si>
    <t>30.03.1999թ. N 3175 AM Վարկային պայմանագիր</t>
  </si>
  <si>
    <t>OL-IDA-3175-AM</t>
  </si>
  <si>
    <t>OL-IDA-3175-OP</t>
  </si>
  <si>
    <t>18.02.1999թ.             ARM-P1 Վարկային պայմանագիր</t>
  </si>
  <si>
    <t>OL-ARM-P1-OP</t>
  </si>
  <si>
    <t>OL-ARM-P1-EL</t>
  </si>
  <si>
    <t>20.07.2005թ.      Վարկային պայմանագիր</t>
  </si>
  <si>
    <t>25.07.1997թ. և  11.04.2001թ. կնքված   Ֆինանսական համագրծակցության համաձայնագիր</t>
  </si>
  <si>
    <t xml:space="preserve">25.07.1997թ. և  11.04.2001թ.   </t>
  </si>
  <si>
    <t>Որոտանի հիդրոէլեկտրակայանների վերազինում</t>
  </si>
  <si>
    <t>09.12.2005թ.   16.05.2008թ.   16.03.2010թ. Վարկային պայմանագրեր</t>
  </si>
  <si>
    <t>29.03.2005թ.              ARM-P2 Վարկային պայմանագիր</t>
  </si>
  <si>
    <t>23.12.1994թ.</t>
  </si>
  <si>
    <t>«Իրան-Հայաստան 400 կՎ էլեկտրահաղորդման օդային գծի և համապատասխան ենթակայանի կառուցում» ծրագրի շրջանակներում 2 հատ 400/220/20 կՎ 200 ՄՎԱ հզորությամբ ավտոտրանսֆորմատորների իրանի՝ ներառյալ ակտիվ մասի և բեռի տակ լարման կարգավորիչների լրակազմի ձեռքբերման ֆինանսավորում</t>
  </si>
  <si>
    <t>ՀՀ կառավարության 21.11.2024թ. N 1840-որոշում</t>
  </si>
  <si>
    <t>ՀՀ կառավարության և Ֆրանսիայի հանրապետության կառավարության միջև 29.12.1995թ. կնքված ֆինանսական արձանագրություն</t>
  </si>
  <si>
    <t>ՀՀ տարածքում ատոմային էլեկտրակայանի շահագործման ժամկետի երկարաձգման աշխատանքների ֆինանսավորում</t>
  </si>
  <si>
    <t xml:space="preserve">10.07.2020թ. N 8/2020 </t>
  </si>
  <si>
    <t>02.12.2024թ. N 3/24 վարկային պայմանագիր</t>
  </si>
  <si>
    <t>«Երևանի մետրոպոլիտենի վերականգնում» I ծրագիր (ՎԶԵԲII)</t>
  </si>
  <si>
    <t>26.06.2009թ.                         N 717-Ա որոեշում</t>
  </si>
  <si>
    <t>01.11.2012թ.                                   N 1377-Ն որոշում</t>
  </si>
  <si>
    <t>19.12.2003թ. Ֆինանսական համագործակության համաձայնագիր</t>
  </si>
  <si>
    <t>19.12.2003թ.</t>
  </si>
  <si>
    <t xml:space="preserve">28.07.2005թ. </t>
  </si>
  <si>
    <t xml:space="preserve"> 455-AM պայմանագիր</t>
  </si>
  <si>
    <t>561-AM համաձայնագիր</t>
  </si>
  <si>
    <t>փոխառություն թիվ 730-AM ծրագիր</t>
  </si>
  <si>
    <t>Փոխառության Համաձայնագիր</t>
  </si>
  <si>
    <t>փոխառություն թիվ 2000000779 (IRFSP)  ծրագիր</t>
  </si>
  <si>
    <t>Ապրանքային վարկ</t>
  </si>
  <si>
    <t>ՀՀ և Վերակառուցման և Զարգացման Եվրոպական Բանկի միջև 11.12.2015թ. կնքված Համաձայնագրի շրջանակներում 22.12.17թ. ՀՀ ՖՆ և &lt;&lt;Երևանի քաղաքային նոր աղբավայր&gt;&gt; ՓԲԸ-ի միջև կնքված Ենթավարկային պայմանագիր</t>
  </si>
  <si>
    <t>ՀՀ և ԵՆԲ միջև 29.12.2017թ. կնքվել է  &lt;&lt;Երևանի կոշտ թափոններ-փուլ 1&gt;&gt; ֆինանսական համաձայնագիր</t>
  </si>
  <si>
    <t xml:space="preserve">ՀՀ և Վերակառուցման և Զարգացման Եվրոպական Բանկի միջև 05.04.2016թ. կնքված Համաձայնագրի շրջանակներում  ՀՀ ՖՆ և &lt;&lt;Կոտայքի և գեղարքունիքի ԿԿԹԿ&gt;&gt; ՍՊԸ-ի միջև 30.10.16թ կնքված Ենթավարկային պայմանագիր </t>
  </si>
  <si>
    <t>ՀՀ կառավարության 19.07.2012թ. N 900-Ա որոշում</t>
  </si>
  <si>
    <t>11.05.2015թ.</t>
  </si>
  <si>
    <t>03.02.2016թ.</t>
  </si>
  <si>
    <t>«Հայփոստ» ՓԲԸ</t>
  </si>
  <si>
    <t>«Հայփոստ» ՓԲԸ-ի՝ շահութահարկի գծով առաջացած պարտավորության մարման նպատակով</t>
  </si>
  <si>
    <t>17.04.225թ. N 445-Ն որոշում</t>
  </si>
  <si>
    <t>22.04.2025թ.N 1/2025</t>
  </si>
  <si>
    <t>25.12.2025թ.</t>
  </si>
  <si>
    <t xml:space="preserve"> ՀՀ կառավարության 20.06.2011թ.  N  681 - Ա որոշում</t>
  </si>
  <si>
    <t>ՀՀ կառավարության 02.08.2012թ. N 1018  -Ն որոշում</t>
  </si>
  <si>
    <t>ՀՀ կառավարության 06.02.2014թ.  N  194 -Ն որոշում</t>
  </si>
  <si>
    <t xml:space="preserve"> ՀՀ կառավարության 10.06.2015թ. N 638-Ն որոշում</t>
  </si>
  <si>
    <t>ՀՀ կառավարության 10.12.2015թ. N 1436-Ն որոշում</t>
  </si>
  <si>
    <t xml:space="preserve">28.01.2005թ.  N 653-AM </t>
  </si>
  <si>
    <t xml:space="preserve">24.11.2021թ. </t>
  </si>
  <si>
    <t>04.07.2022թ. Կնքված իրականացման համաձայնագիր</t>
  </si>
  <si>
    <t>Առողջապահական համակարգի կազմակերպությունների ֆինանսական վիճակի բարելավման ծրագիր</t>
  </si>
  <si>
    <t>ՀՀ կառավարության 24.12.2024թ. թիվ 2047-Ն որոշում</t>
  </si>
  <si>
    <t>0.0 1%</t>
  </si>
  <si>
    <t>Պահանջի իրավունքի զիջում</t>
  </si>
  <si>
    <t>ՀՀ կառավարութւյան 13.01.2022թ. N 45-Ա որոշում</t>
  </si>
  <si>
    <t xml:space="preserve">Կարեն Դեմիրճյանի անվան մարզահամերգային համալիրի օդափոխության համակարգի վերազինման, հակահրդեհային համակարգի ստեղծման և նշված համակարգերի վերազինման նպատակով էլեկտրական համակարգի արդիականացում </t>
  </si>
  <si>
    <t>15.11.2024թ. N 1796-Ն որոշում</t>
  </si>
  <si>
    <t>11.01.2024 թ․                        N 52-Ա որոշում</t>
  </si>
  <si>
    <t>19.10.2023թ․                                  N 1800-Ն որոշում</t>
  </si>
  <si>
    <t>09.11.2023թ․  N 2/2023</t>
  </si>
  <si>
    <t>10.09.2015թ․                                    N 1065-Ն որոշում</t>
  </si>
  <si>
    <t xml:space="preserve">29.09.2015թ N 6/2015 </t>
  </si>
  <si>
    <t>12.10.2013թ․                              N 1375-Ն որոշում</t>
  </si>
  <si>
    <t>30.12.2016թ․</t>
  </si>
  <si>
    <t>16.06.2020թ.</t>
  </si>
  <si>
    <t>10.06.2020թ.</t>
  </si>
  <si>
    <t>26.06.2020թ.</t>
  </si>
  <si>
    <t>05.06.2020թ.</t>
  </si>
  <si>
    <t>08.06.2020թ.</t>
  </si>
  <si>
    <t>06.07.2020թ.</t>
  </si>
  <si>
    <t>23.06.2020թ.</t>
  </si>
  <si>
    <t>17.07.2020թ.</t>
  </si>
  <si>
    <t>24.09.2020թ.</t>
  </si>
  <si>
    <t>08.07.2020թ.</t>
  </si>
  <si>
    <t>24.07.2020թ.</t>
  </si>
  <si>
    <t>25.08.2020թ.</t>
  </si>
  <si>
    <t>24.08.2020թ.</t>
  </si>
  <si>
    <t>16.11.2020թ.</t>
  </si>
  <si>
    <t>30.10.2020թ.</t>
  </si>
  <si>
    <t>Լեռնային Ղարաբաղի կառավարություն</t>
  </si>
  <si>
    <t xml:space="preserve">ՀՀ պետական բյուջեից, միջազգային կազմակերպությունների և օտարերկրյա պետությունների կողմից ներգրաված վարկային միջոցների հաշվին տրամադրված բյուջետային վարկերի և ենթավարկերի  վերաբերյալ 30.06.2025թ. դրությամբ </t>
  </si>
  <si>
    <t>ՀՀ կառավարության 15.07.2021թ. թիվ 1168-լ որոշմման հիման վրա գյուղատնտեսական հումքի մթերումների համար վարկերի  ներգրավման նպատակով  տրված բյուջետային երաշխիքների վերաբերյալ՝ 31.07.25թ. դրությամբ</t>
  </si>
  <si>
    <t>31.07.2025</t>
  </si>
  <si>
    <t xml:space="preserve">ՀՀ պետական բյուջեից, միջազգային կազմակերպությունների և օտարերկրյա պետությունների կողմից ներգրաված վարկային միջոցների հաշվին տրամադրված բյուջետային վարկերի և ենթավարկերի  վերաբերյալ 31.07.2025թ. դրությամբ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</si>
</sst>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(* #,##0.00_);_(* \(#,##0.00\);_(* &quot;-&quot;??_);_(@_)"/>
    <numFmt numFmtId="164" formatCode="_-* #,##0.00_р_._-;\-* #,##0.00_р_._-;_-* &quot;-&quot;??_р_._-;_-@_-"/>
    <numFmt numFmtId="165" formatCode="_(* #,##0_);_(* \(#,##0\);_(* &quot;-&quot;??_);_(@_)"/>
    <numFmt numFmtId="166" formatCode="0.0%"/>
    <numFmt numFmtId="167" formatCode="0.000%"/>
    <numFmt numFmtId="168" formatCode="_(* #,##0.0_);_(* \(#,##0.0\);_(* &quot;-&quot;??_);_(@_)"/>
    <numFmt numFmtId="169" formatCode="_(* #,##0.000_);_(* \(#,##0.000\);_(* &quot;-&quot;??_);_(@_)"/>
    <numFmt numFmtId="170" formatCode="_(* #,##0.0_);_(* \(#,##0.0\);_(* &quot;-&quot;?_);_(@_)"/>
    <numFmt numFmtId="171" formatCode="0.0000%"/>
    <numFmt numFmtId="172" formatCode="0.0000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0"/>
      <color rgb="FFFF0000"/>
      <name val="GHEA Grapalat"/>
      <family val="3"/>
    </font>
    <font>
      <b/>
      <sz val="10"/>
      <color rgb="FFFF0000"/>
      <name val="GHEA Grapalat"/>
      <family val="3"/>
    </font>
    <font>
      <sz val="12"/>
      <color rgb="FFFF0000"/>
      <name val="GHEA Grapalat"/>
      <family val="3"/>
    </font>
    <font>
      <b/>
      <sz val="16"/>
      <color rgb="FFFF0000"/>
      <name val="GHEA Grapalat"/>
      <family val="3"/>
    </font>
    <font>
      <sz val="16"/>
      <color rgb="FFFF0000"/>
      <name val="GHEA Grapalat"/>
      <family val="3"/>
    </font>
    <font>
      <sz val="10"/>
      <color rgb="FFFF0000"/>
      <name val="Arial Armenian"/>
      <family val="2"/>
    </font>
    <font>
      <sz val="10"/>
      <color rgb="FFFF0000"/>
      <name val="Arial"/>
      <family val="2"/>
    </font>
    <font>
      <b/>
      <sz val="14"/>
      <color rgb="FFFF0000"/>
      <name val="GHEA Grapalat"/>
      <family val="3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GHEA Grapalat"/>
      <family val="3"/>
    </font>
    <font>
      <sz val="12"/>
      <name val="GHEA Grapalat"/>
      <family val="3"/>
    </font>
    <font>
      <b/>
      <i/>
      <sz val="12"/>
      <name val="GHEA Grapalat"/>
      <family val="3"/>
    </font>
    <font>
      <sz val="10"/>
      <name val="GHEA Grapalat"/>
      <family val="3"/>
    </font>
    <font>
      <b/>
      <sz val="13"/>
      <name val="GHEA Grapalat"/>
      <family val="3"/>
    </font>
    <font>
      <b/>
      <sz val="10"/>
      <name val="GHEA Grapalat"/>
      <family val="3"/>
    </font>
    <font>
      <b/>
      <sz val="16"/>
      <name val="GHEA Grapalat"/>
      <family val="3"/>
    </font>
    <font>
      <sz val="16"/>
      <name val="GHEA Grapalat"/>
      <family val="3"/>
    </font>
    <font>
      <sz val="10"/>
      <name val="Arial Armenian"/>
      <family val="2"/>
    </font>
    <font>
      <sz val="11"/>
      <name val="Calibri"/>
      <family val="2"/>
      <scheme val="minor"/>
    </font>
    <font>
      <b/>
      <sz val="14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/>
  </cellStyleXfs>
  <cellXfs count="486">
    <xf numFmtId="0" fontId="0" fillId="0" borderId="0" xfId="0"/>
    <xf numFmtId="0" fontId="17" fillId="2" borderId="0" xfId="1" applyFont="1" applyFill="1" applyAlignment="1" applyProtection="1">
      <alignment horizontal="center"/>
    </xf>
    <xf numFmtId="43" fontId="14" fillId="2" borderId="0" xfId="2" applyFont="1" applyFill="1" applyProtection="1"/>
    <xf numFmtId="0" fontId="14" fillId="2" borderId="0" xfId="1" applyFont="1" applyFill="1" applyProtection="1"/>
    <xf numFmtId="168" fontId="19" fillId="2" borderId="0" xfId="2" applyNumberFormat="1" applyFont="1" applyFill="1" applyBorder="1"/>
    <xf numFmtId="0" fontId="14" fillId="2" borderId="0" xfId="1" applyFont="1" applyFill="1" applyAlignment="1" applyProtection="1">
      <alignment horizontal="center"/>
    </xf>
    <xf numFmtId="1" fontId="14" fillId="2" borderId="0" xfId="1" applyNumberFormat="1" applyFont="1" applyFill="1" applyAlignment="1" applyProtection="1">
      <alignment horizontal="center"/>
    </xf>
    <xf numFmtId="0" fontId="14" fillId="2" borderId="0" xfId="1" applyNumberFormat="1" applyFont="1" applyFill="1" applyAlignment="1" applyProtection="1">
      <alignment horizontal="center"/>
    </xf>
    <xf numFmtId="10" fontId="14" fillId="2" borderId="0" xfId="6" applyNumberFormat="1" applyFont="1" applyFill="1" applyAlignment="1" applyProtection="1">
      <alignment horizontal="center"/>
    </xf>
    <xf numFmtId="0" fontId="14" fillId="2" borderId="0" xfId="1" applyFont="1" applyFill="1" applyAlignment="1" applyProtection="1">
      <alignment horizontal="centerContinuous"/>
    </xf>
    <xf numFmtId="0" fontId="15" fillId="2" borderId="18" xfId="1" applyFont="1" applyFill="1" applyBorder="1" applyAlignment="1" applyProtection="1">
      <alignment horizontal="center" vertical="center" wrapText="1"/>
    </xf>
    <xf numFmtId="0" fontId="15" fillId="2" borderId="19" xfId="1" applyFont="1" applyFill="1" applyBorder="1" applyAlignment="1" applyProtection="1">
      <alignment horizontal="center" vertical="center" wrapText="1"/>
    </xf>
    <xf numFmtId="0" fontId="15" fillId="2" borderId="16" xfId="1" applyFont="1" applyFill="1" applyBorder="1" applyAlignment="1" applyProtection="1">
      <alignment horizontal="center" vertical="center" wrapText="1"/>
    </xf>
    <xf numFmtId="10" fontId="15" fillId="2" borderId="19" xfId="6" applyNumberFormat="1" applyFont="1" applyFill="1" applyBorder="1" applyAlignment="1" applyProtection="1">
      <alignment horizontal="center" vertical="center" wrapText="1"/>
    </xf>
    <xf numFmtId="0" fontId="15" fillId="2" borderId="17" xfId="1" applyFont="1" applyFill="1" applyBorder="1" applyAlignment="1" applyProtection="1">
      <alignment horizontal="center" vertical="center" wrapText="1"/>
    </xf>
    <xf numFmtId="43" fontId="15" fillId="2" borderId="0" xfId="2" applyFont="1" applyFill="1" applyAlignment="1" applyProtection="1">
      <alignment horizontal="center" vertical="center" wrapText="1"/>
    </xf>
    <xf numFmtId="43" fontId="15" fillId="2" borderId="0" xfId="1" applyNumberFormat="1" applyFont="1" applyFill="1" applyAlignment="1" applyProtection="1"/>
    <xf numFmtId="0" fontId="15" fillId="2" borderId="0" xfId="1" applyFont="1" applyFill="1" applyAlignment="1" applyProtection="1"/>
    <xf numFmtId="0" fontId="14" fillId="2" borderId="3" xfId="1" applyFont="1" applyFill="1" applyBorder="1" applyAlignment="1" applyProtection="1">
      <alignment horizontal="center" vertical="center" wrapText="1"/>
    </xf>
    <xf numFmtId="2" fontId="14" fillId="2" borderId="3" xfId="1" applyNumberFormat="1" applyFont="1" applyFill="1" applyBorder="1" applyAlignment="1" applyProtection="1">
      <alignment horizontal="center" vertical="center" wrapText="1"/>
    </xf>
    <xf numFmtId="0" fontId="14" fillId="2" borderId="3" xfId="1" applyFont="1" applyFill="1" applyBorder="1" applyAlignment="1" applyProtection="1">
      <alignment horizontal="center" vertical="center"/>
    </xf>
    <xf numFmtId="165" fontId="14" fillId="2" borderId="3" xfId="4" applyNumberFormat="1" applyFont="1" applyFill="1" applyBorder="1" applyAlignment="1" applyProtection="1">
      <alignment horizontal="center" vertical="center" wrapText="1"/>
    </xf>
    <xf numFmtId="10" fontId="14" fillId="2" borderId="3" xfId="1" applyNumberFormat="1" applyFont="1" applyFill="1" applyBorder="1" applyAlignment="1" applyProtection="1">
      <alignment horizontal="center" vertical="center" wrapText="1"/>
    </xf>
    <xf numFmtId="0" fontId="14" fillId="2" borderId="23" xfId="1" applyFont="1" applyFill="1" applyBorder="1" applyAlignment="1" applyProtection="1">
      <alignment horizontal="center" vertical="center" wrapText="1"/>
    </xf>
    <xf numFmtId="0" fontId="14" fillId="2" borderId="39" xfId="1" applyFont="1" applyFill="1" applyBorder="1" applyAlignment="1" applyProtection="1">
      <alignment horizontal="center" vertical="center" wrapText="1"/>
    </xf>
    <xf numFmtId="0" fontId="14" fillId="2" borderId="2" xfId="1" applyFont="1" applyFill="1" applyBorder="1" applyAlignment="1" applyProtection="1">
      <alignment horizontal="center" vertical="center" wrapText="1"/>
    </xf>
    <xf numFmtId="2" fontId="14" fillId="2" borderId="2" xfId="1" applyNumberFormat="1" applyFont="1" applyFill="1" applyBorder="1" applyAlignment="1" applyProtection="1">
      <alignment horizontal="center" vertical="center" wrapText="1"/>
    </xf>
    <xf numFmtId="0" fontId="14" fillId="2" borderId="2" xfId="1" applyFont="1" applyFill="1" applyBorder="1" applyAlignment="1" applyProtection="1">
      <alignment horizontal="center" vertical="center"/>
    </xf>
    <xf numFmtId="165" fontId="14" fillId="2" borderId="2" xfId="4" applyNumberFormat="1" applyFont="1" applyFill="1" applyBorder="1" applyAlignment="1" applyProtection="1">
      <alignment horizontal="center" vertical="center" wrapText="1"/>
    </xf>
    <xf numFmtId="9" fontId="14" fillId="2" borderId="2" xfId="1" applyNumberFormat="1" applyFont="1" applyFill="1" applyBorder="1" applyAlignment="1" applyProtection="1">
      <alignment horizontal="center" vertical="center" wrapText="1"/>
    </xf>
    <xf numFmtId="0" fontId="14" fillId="2" borderId="15" xfId="1" applyFont="1" applyFill="1" applyBorder="1" applyAlignment="1" applyProtection="1">
      <alignment horizontal="center" vertical="center" wrapText="1"/>
    </xf>
    <xf numFmtId="0" fontId="14" fillId="2" borderId="26" xfId="1" applyFont="1" applyFill="1" applyBorder="1" applyAlignment="1" applyProtection="1">
      <alignment horizontal="center" vertical="center" wrapText="1"/>
    </xf>
    <xf numFmtId="0" fontId="14" fillId="2" borderId="7" xfId="1" applyFont="1" applyFill="1" applyBorder="1" applyAlignment="1" applyProtection="1">
      <alignment horizontal="center" vertical="center" wrapText="1"/>
    </xf>
    <xf numFmtId="0" fontId="20" fillId="2" borderId="47" xfId="1" applyFont="1" applyFill="1" applyBorder="1" applyAlignment="1">
      <alignment horizontal="center" vertical="center" wrapText="1"/>
    </xf>
    <xf numFmtId="0" fontId="20" fillId="2" borderId="2" xfId="1" applyFont="1" applyFill="1" applyBorder="1" applyAlignment="1">
      <alignment horizontal="center" vertical="center" wrapText="1"/>
    </xf>
    <xf numFmtId="10" fontId="14" fillId="2" borderId="2" xfId="6" applyNumberFormat="1" applyFont="1" applyFill="1" applyBorder="1" applyAlignment="1" applyProtection="1">
      <alignment horizontal="center" vertical="center" wrapText="1"/>
    </xf>
    <xf numFmtId="0" fontId="20" fillId="2" borderId="0" xfId="1" applyFont="1" applyFill="1" applyAlignment="1">
      <alignment horizontal="center" vertical="center" wrapText="1"/>
    </xf>
    <xf numFmtId="0" fontId="14" fillId="2" borderId="2" xfId="1" applyNumberFormat="1" applyFont="1" applyFill="1" applyBorder="1" applyAlignment="1" applyProtection="1">
      <alignment horizontal="center" vertical="center" wrapText="1"/>
    </xf>
    <xf numFmtId="0" fontId="14" fillId="2" borderId="1" xfId="1" applyFont="1" applyFill="1" applyBorder="1" applyAlignment="1" applyProtection="1">
      <alignment horizontal="center" vertical="center" wrapText="1"/>
    </xf>
    <xf numFmtId="10" fontId="14" fillId="2" borderId="1" xfId="6" applyNumberFormat="1" applyFont="1" applyFill="1" applyBorder="1" applyAlignment="1" applyProtection="1">
      <alignment horizontal="center" vertical="center" wrapText="1"/>
    </xf>
    <xf numFmtId="43" fontId="14" fillId="2" borderId="0" xfId="2" applyFont="1" applyFill="1" applyAlignment="1" applyProtection="1">
      <alignment horizontal="center" vertical="center" wrapText="1"/>
    </xf>
    <xf numFmtId="0" fontId="13" fillId="2" borderId="0" xfId="1" applyFont="1" applyFill="1" applyAlignment="1">
      <alignment horizontal="center" vertical="center" wrapText="1"/>
    </xf>
    <xf numFmtId="9" fontId="14" fillId="2" borderId="1" xfId="1" applyNumberFormat="1" applyFont="1" applyFill="1" applyBorder="1" applyAlignment="1" applyProtection="1">
      <alignment horizontal="center" vertical="center" wrapText="1"/>
    </xf>
    <xf numFmtId="43" fontId="14" fillId="2" borderId="0" xfId="2" applyFont="1" applyFill="1" applyBorder="1" applyAlignment="1" applyProtection="1">
      <alignment horizontal="center" vertical="center" wrapText="1"/>
    </xf>
    <xf numFmtId="165" fontId="14" fillId="2" borderId="2" xfId="4" applyNumberFormat="1" applyFont="1" applyFill="1" applyBorder="1" applyAlignment="1" applyProtection="1">
      <alignment vertical="center"/>
    </xf>
    <xf numFmtId="1" fontId="14" fillId="2" borderId="1" xfId="1" applyNumberFormat="1" applyFont="1" applyFill="1" applyBorder="1" applyAlignment="1" applyProtection="1">
      <alignment horizontal="center" vertical="center" wrapText="1"/>
    </xf>
    <xf numFmtId="0" fontId="14" fillId="2" borderId="21" xfId="1" applyFont="1" applyFill="1" applyBorder="1" applyAlignment="1" applyProtection="1">
      <alignment horizontal="center" vertical="center" wrapText="1"/>
    </xf>
    <xf numFmtId="165" fontId="14" fillId="2" borderId="2" xfId="4" applyNumberFormat="1" applyFont="1" applyFill="1" applyBorder="1" applyAlignment="1" applyProtection="1">
      <alignment vertical="center" wrapText="1"/>
    </xf>
    <xf numFmtId="165" fontId="14" fillId="2" borderId="3" xfId="4" applyNumberFormat="1" applyFont="1" applyFill="1" applyBorder="1" applyAlignment="1" applyProtection="1">
      <alignment vertical="center" wrapText="1"/>
    </xf>
    <xf numFmtId="1" fontId="14" fillId="2" borderId="2" xfId="1" applyNumberFormat="1" applyFont="1" applyFill="1" applyBorder="1" applyAlignment="1" applyProtection="1">
      <alignment horizontal="center" vertical="center" wrapText="1"/>
    </xf>
    <xf numFmtId="166" fontId="14" fillId="2" borderId="2" xfId="6" applyNumberFormat="1" applyFont="1" applyFill="1" applyBorder="1" applyAlignment="1" applyProtection="1">
      <alignment horizontal="center" vertical="center" wrapText="1"/>
    </xf>
    <xf numFmtId="43" fontId="14" fillId="2" borderId="0" xfId="2" applyFont="1" applyFill="1" applyBorder="1" applyProtection="1"/>
    <xf numFmtId="43" fontId="14" fillId="2" borderId="2" xfId="4" applyFont="1" applyFill="1" applyBorder="1" applyAlignment="1" applyProtection="1">
      <alignment horizontal="center" vertical="center" wrapText="1"/>
    </xf>
    <xf numFmtId="165" fontId="14" fillId="2" borderId="2" xfId="7" applyNumberFormat="1" applyFont="1" applyFill="1" applyBorder="1" applyAlignment="1" applyProtection="1">
      <alignment horizontal="center" vertical="center" wrapText="1"/>
    </xf>
    <xf numFmtId="10" fontId="14" fillId="2" borderId="2" xfId="1" applyNumberFormat="1" applyFont="1" applyFill="1" applyBorder="1" applyAlignment="1" applyProtection="1">
      <alignment horizontal="center" vertical="center" wrapText="1"/>
    </xf>
    <xf numFmtId="165" fontId="14" fillId="2" borderId="2" xfId="4" applyNumberFormat="1" applyFont="1" applyFill="1" applyBorder="1" applyAlignment="1" applyProtection="1">
      <alignment horizontal="center" vertical="center"/>
    </xf>
    <xf numFmtId="165" fontId="14" fillId="2" borderId="2" xfId="1" applyNumberFormat="1" applyFont="1" applyFill="1" applyBorder="1" applyAlignment="1" applyProtection="1">
      <alignment horizontal="center" vertical="center" wrapText="1"/>
    </xf>
    <xf numFmtId="165" fontId="14" fillId="2" borderId="1" xfId="3" applyNumberFormat="1" applyFont="1" applyFill="1" applyBorder="1" applyAlignment="1" applyProtection="1">
      <alignment horizontal="center" vertical="center" wrapText="1"/>
    </xf>
    <xf numFmtId="171" fontId="14" fillId="2" borderId="2" xfId="6" applyNumberFormat="1" applyFont="1" applyFill="1" applyBorder="1" applyAlignment="1" applyProtection="1">
      <alignment horizontal="center" vertical="center" wrapText="1"/>
    </xf>
    <xf numFmtId="0" fontId="14" fillId="2" borderId="2" xfId="4" applyNumberFormat="1" applyFont="1" applyFill="1" applyBorder="1" applyAlignment="1" applyProtection="1">
      <alignment horizontal="center" vertical="center" wrapText="1"/>
    </xf>
    <xf numFmtId="165" fontId="14" fillId="2" borderId="2" xfId="3" applyNumberFormat="1" applyFont="1" applyFill="1" applyBorder="1" applyAlignment="1" applyProtection="1">
      <alignment horizontal="center" vertical="center" wrapText="1"/>
    </xf>
    <xf numFmtId="0" fontId="14" fillId="2" borderId="11" xfId="1" applyFont="1" applyFill="1" applyBorder="1" applyAlignment="1" applyProtection="1">
      <alignment horizontal="center" vertical="center" wrapText="1"/>
    </xf>
    <xf numFmtId="171" fontId="14" fillId="2" borderId="1" xfId="6" applyNumberFormat="1" applyFont="1" applyFill="1" applyBorder="1" applyAlignment="1" applyProtection="1">
      <alignment horizontal="center" vertical="center" wrapText="1"/>
    </xf>
    <xf numFmtId="166" fontId="14" fillId="2" borderId="1" xfId="6" applyNumberFormat="1" applyFont="1" applyFill="1" applyBorder="1" applyAlignment="1" applyProtection="1">
      <alignment horizontal="center" vertical="center" wrapText="1"/>
    </xf>
    <xf numFmtId="0" fontId="14" fillId="2" borderId="3" xfId="1" applyNumberFormat="1" applyFont="1" applyFill="1" applyBorder="1" applyAlignment="1" applyProtection="1">
      <alignment horizontal="center" vertical="center" wrapText="1"/>
    </xf>
    <xf numFmtId="165" fontId="14" fillId="2" borderId="14" xfId="1" applyNumberFormat="1" applyFont="1" applyFill="1" applyBorder="1" applyAlignment="1" applyProtection="1">
      <alignment horizontal="center" vertical="center" wrapText="1"/>
    </xf>
    <xf numFmtId="0" fontId="14" fillId="2" borderId="34" xfId="1" applyFont="1" applyFill="1" applyBorder="1" applyAlignment="1" applyProtection="1">
      <alignment horizontal="center" vertical="center" wrapText="1"/>
    </xf>
    <xf numFmtId="0" fontId="14" fillId="2" borderId="27" xfId="1" applyFont="1" applyFill="1" applyBorder="1" applyAlignment="1" applyProtection="1">
      <alignment horizontal="center" vertical="center" wrapText="1"/>
    </xf>
    <xf numFmtId="0" fontId="14" fillId="2" borderId="14" xfId="1" applyFont="1" applyFill="1" applyBorder="1" applyAlignment="1" applyProtection="1">
      <alignment horizontal="center" vertical="center" wrapText="1"/>
    </xf>
    <xf numFmtId="165" fontId="14" fillId="2" borderId="14" xfId="4" applyNumberFormat="1" applyFont="1" applyFill="1" applyBorder="1" applyAlignment="1" applyProtection="1">
      <alignment horizontal="center" vertical="center" wrapText="1"/>
    </xf>
    <xf numFmtId="0" fontId="14" fillId="2" borderId="14" xfId="1" applyFont="1" applyFill="1" applyBorder="1" applyAlignment="1" applyProtection="1">
      <alignment horizontal="center" vertical="center"/>
    </xf>
    <xf numFmtId="165" fontId="14" fillId="2" borderId="14" xfId="4" applyNumberFormat="1" applyFont="1" applyFill="1" applyBorder="1" applyAlignment="1" applyProtection="1">
      <alignment vertical="center" wrapText="1"/>
    </xf>
    <xf numFmtId="10" fontId="14" fillId="2" borderId="10" xfId="6" applyNumberFormat="1" applyFont="1" applyFill="1" applyBorder="1" applyAlignment="1" applyProtection="1">
      <alignment horizontal="center" vertical="center" wrapText="1"/>
    </xf>
    <xf numFmtId="165" fontId="14" fillId="2" borderId="1" xfId="1" applyNumberFormat="1" applyFont="1" applyFill="1" applyBorder="1" applyAlignment="1" applyProtection="1">
      <alignment horizontal="center" vertical="center" wrapText="1"/>
    </xf>
    <xf numFmtId="0" fontId="14" fillId="2" borderId="29" xfId="1" applyFont="1" applyFill="1" applyBorder="1" applyAlignment="1" applyProtection="1">
      <alignment horizontal="center" vertical="center" wrapText="1"/>
    </xf>
    <xf numFmtId="2" fontId="15" fillId="2" borderId="16" xfId="1" applyNumberFormat="1" applyFont="1" applyFill="1" applyBorder="1" applyAlignment="1" applyProtection="1">
      <alignment vertical="center"/>
    </xf>
    <xf numFmtId="165" fontId="15" fillId="2" borderId="13" xfId="4" applyNumberFormat="1" applyFont="1" applyFill="1" applyBorder="1" applyAlignment="1" applyProtection="1">
      <alignment vertical="center"/>
    </xf>
    <xf numFmtId="165" fontId="15" fillId="2" borderId="33" xfId="4" applyNumberFormat="1" applyFont="1" applyFill="1" applyBorder="1" applyAlignment="1" applyProtection="1">
      <alignment vertical="center"/>
    </xf>
    <xf numFmtId="165" fontId="15" fillId="2" borderId="39" xfId="4" applyNumberFormat="1" applyFont="1" applyFill="1" applyBorder="1" applyAlignment="1" applyProtection="1">
      <alignment vertical="center"/>
    </xf>
    <xf numFmtId="0" fontId="14" fillId="2" borderId="0" xfId="1" applyFont="1" applyFill="1" applyBorder="1" applyProtection="1"/>
    <xf numFmtId="2" fontId="15" fillId="2" borderId="2" xfId="1" applyNumberFormat="1" applyFont="1" applyFill="1" applyBorder="1" applyAlignment="1" applyProtection="1">
      <alignment vertical="center"/>
    </xf>
    <xf numFmtId="165" fontId="15" fillId="2" borderId="2" xfId="4" applyNumberFormat="1" applyFont="1" applyFill="1" applyBorder="1" applyAlignment="1" applyProtection="1">
      <alignment vertical="center"/>
    </xf>
    <xf numFmtId="165" fontId="15" fillId="2" borderId="15" xfId="4" applyNumberFormat="1" applyFont="1" applyFill="1" applyBorder="1" applyAlignment="1" applyProtection="1">
      <alignment vertical="center"/>
    </xf>
    <xf numFmtId="165" fontId="15" fillId="2" borderId="26" xfId="4" applyNumberFormat="1" applyFont="1" applyFill="1" applyBorder="1" applyAlignment="1" applyProtection="1">
      <alignment vertical="center"/>
    </xf>
    <xf numFmtId="2" fontId="15" fillId="2" borderId="1" xfId="1" applyNumberFormat="1" applyFont="1" applyFill="1" applyBorder="1" applyAlignment="1" applyProtection="1">
      <alignment vertical="center"/>
    </xf>
    <xf numFmtId="165" fontId="15" fillId="2" borderId="14" xfId="4" applyNumberFormat="1" applyFont="1" applyFill="1" applyBorder="1" applyAlignment="1" applyProtection="1">
      <alignment vertical="center"/>
    </xf>
    <xf numFmtId="165" fontId="15" fillId="2" borderId="34" xfId="4" applyNumberFormat="1" applyFont="1" applyFill="1" applyBorder="1" applyAlignment="1" applyProtection="1">
      <alignment vertical="center"/>
    </xf>
    <xf numFmtId="165" fontId="15" fillId="2" borderId="27" xfId="4" applyNumberFormat="1" applyFont="1" applyFill="1" applyBorder="1" applyAlignment="1" applyProtection="1">
      <alignment vertical="center"/>
    </xf>
    <xf numFmtId="2" fontId="15" fillId="2" borderId="10" xfId="1" applyNumberFormat="1" applyFont="1" applyFill="1" applyBorder="1" applyAlignment="1" applyProtection="1">
      <alignment vertical="center"/>
    </xf>
    <xf numFmtId="2" fontId="15" fillId="2" borderId="25" xfId="1" applyNumberFormat="1" applyFont="1" applyFill="1" applyBorder="1" applyAlignment="1" applyProtection="1">
      <alignment vertical="center"/>
    </xf>
    <xf numFmtId="2" fontId="15" fillId="2" borderId="12" xfId="1" applyNumberFormat="1" applyFont="1" applyFill="1" applyBorder="1" applyAlignment="1" applyProtection="1">
      <alignment vertical="center"/>
    </xf>
    <xf numFmtId="2" fontId="15" fillId="2" borderId="31" xfId="1" applyNumberFormat="1" applyFont="1" applyFill="1" applyBorder="1" applyAlignment="1" applyProtection="1">
      <alignment vertical="center"/>
    </xf>
    <xf numFmtId="165" fontId="15" fillId="2" borderId="10" xfId="4" applyNumberFormat="1" applyFont="1" applyFill="1" applyBorder="1" applyAlignment="1" applyProtection="1">
      <alignment vertical="center"/>
    </xf>
    <xf numFmtId="165" fontId="15" fillId="2" borderId="31" xfId="4" applyNumberFormat="1" applyFont="1" applyFill="1" applyBorder="1" applyAlignment="1" applyProtection="1">
      <alignment vertical="center"/>
    </xf>
    <xf numFmtId="165" fontId="15" fillId="2" borderId="29" xfId="4" applyNumberFormat="1" applyFont="1" applyFill="1" applyBorder="1" applyAlignment="1" applyProtection="1">
      <alignment vertical="center"/>
    </xf>
    <xf numFmtId="0" fontId="14" fillId="2" borderId="9" xfId="1" applyFont="1" applyFill="1" applyBorder="1" applyAlignment="1" applyProtection="1">
      <alignment horizontal="center" vertical="center" wrapText="1"/>
    </xf>
    <xf numFmtId="1" fontId="14" fillId="2" borderId="3" xfId="1" applyNumberFormat="1" applyFont="1" applyFill="1" applyBorder="1" applyAlignment="1" applyProtection="1">
      <alignment horizontal="center" vertical="center" wrapText="1"/>
    </xf>
    <xf numFmtId="10" fontId="14" fillId="2" borderId="3" xfId="6" applyNumberFormat="1" applyFont="1" applyFill="1" applyBorder="1" applyAlignment="1" applyProtection="1">
      <alignment horizontal="center" vertical="center" wrapText="1"/>
    </xf>
    <xf numFmtId="2" fontId="14" fillId="2" borderId="1" xfId="1" applyNumberFormat="1" applyFont="1" applyFill="1" applyBorder="1" applyAlignment="1" applyProtection="1">
      <alignment horizontal="center" vertical="center" wrapText="1"/>
    </xf>
    <xf numFmtId="0" fontId="14" fillId="2" borderId="1" xfId="1" applyFont="1" applyFill="1" applyBorder="1" applyAlignment="1" applyProtection="1">
      <alignment horizontal="center" vertical="center"/>
    </xf>
    <xf numFmtId="0" fontId="14" fillId="2" borderId="1" xfId="1" applyNumberFormat="1" applyFont="1" applyFill="1" applyBorder="1" applyAlignment="1" applyProtection="1">
      <alignment horizontal="center" vertical="center" wrapText="1"/>
    </xf>
    <xf numFmtId="165" fontId="14" fillId="2" borderId="1" xfId="4" applyNumberFormat="1" applyFont="1" applyFill="1" applyBorder="1" applyAlignment="1" applyProtection="1">
      <alignment horizontal="center" vertical="center" wrapText="1"/>
    </xf>
    <xf numFmtId="167" fontId="14" fillId="2" borderId="1" xfId="6" applyNumberFormat="1" applyFont="1" applyFill="1" applyBorder="1" applyAlignment="1" applyProtection="1">
      <alignment horizontal="center" vertical="center" wrapText="1"/>
    </xf>
    <xf numFmtId="0" fontId="14" fillId="2" borderId="46" xfId="1" applyFont="1" applyFill="1" applyBorder="1" applyAlignment="1" applyProtection="1">
      <alignment horizontal="center" vertical="center" wrapText="1"/>
    </xf>
    <xf numFmtId="0" fontId="14" fillId="2" borderId="16" xfId="1" applyFont="1" applyFill="1" applyBorder="1" applyProtection="1"/>
    <xf numFmtId="165" fontId="15" fillId="2" borderId="16" xfId="4" applyNumberFormat="1" applyFont="1" applyFill="1" applyBorder="1" applyAlignment="1" applyProtection="1">
      <alignment vertical="center"/>
    </xf>
    <xf numFmtId="0" fontId="14" fillId="2" borderId="2" xfId="1" applyFont="1" applyFill="1" applyBorder="1" applyProtection="1"/>
    <xf numFmtId="0" fontId="14" fillId="2" borderId="10" xfId="1" applyFont="1" applyFill="1" applyBorder="1" applyProtection="1"/>
    <xf numFmtId="0" fontId="14" fillId="2" borderId="2" xfId="1" quotePrefix="1" applyNumberFormat="1" applyFont="1" applyFill="1" applyBorder="1" applyAlignment="1" applyProtection="1">
      <alignment horizontal="center" vertical="center" wrapText="1"/>
    </xf>
    <xf numFmtId="43" fontId="15" fillId="2" borderId="0" xfId="2" applyFont="1" applyFill="1" applyAlignment="1" applyProtection="1"/>
    <xf numFmtId="1" fontId="14" fillId="2" borderId="15" xfId="1" applyNumberFormat="1" applyFont="1" applyFill="1" applyBorder="1" applyAlignment="1" applyProtection="1">
      <alignment horizontal="center" vertical="center" wrapText="1"/>
    </xf>
    <xf numFmtId="1" fontId="14" fillId="2" borderId="26" xfId="1" applyNumberFormat="1" applyFont="1" applyFill="1" applyBorder="1" applyAlignment="1" applyProtection="1">
      <alignment horizontal="center" vertical="center" wrapText="1"/>
    </xf>
    <xf numFmtId="165" fontId="14" fillId="2" borderId="2" xfId="2" applyNumberFormat="1" applyFont="1" applyFill="1" applyBorder="1" applyAlignment="1" applyProtection="1">
      <alignment horizontal="left" vertical="center" wrapText="1"/>
    </xf>
    <xf numFmtId="9" fontId="14" fillId="2" borderId="2" xfId="8" applyFont="1" applyFill="1" applyBorder="1" applyAlignment="1" applyProtection="1">
      <alignment horizontal="center" vertical="center" wrapText="1"/>
    </xf>
    <xf numFmtId="43" fontId="19" fillId="2" borderId="0" xfId="2" applyFont="1" applyFill="1" applyProtection="1"/>
    <xf numFmtId="0" fontId="19" fillId="2" borderId="0" xfId="1" applyFont="1" applyFill="1" applyProtection="1"/>
    <xf numFmtId="0" fontId="14" fillId="2" borderId="8" xfId="1" applyFont="1" applyFill="1" applyBorder="1" applyAlignment="1" applyProtection="1">
      <alignment horizontal="center" vertical="center" wrapText="1"/>
    </xf>
    <xf numFmtId="1" fontId="14" fillId="2" borderId="10" xfId="1" applyNumberFormat="1" applyFont="1" applyFill="1" applyBorder="1" applyAlignment="1" applyProtection="1">
      <alignment horizontal="center" vertical="center" wrapText="1"/>
    </xf>
    <xf numFmtId="0" fontId="14" fillId="2" borderId="10" xfId="1" applyFont="1" applyFill="1" applyBorder="1" applyAlignment="1" applyProtection="1">
      <alignment horizontal="center" vertical="center" wrapText="1"/>
    </xf>
    <xf numFmtId="2" fontId="14" fillId="2" borderId="10" xfId="1" applyNumberFormat="1" applyFont="1" applyFill="1" applyBorder="1" applyAlignment="1" applyProtection="1">
      <alignment horizontal="center" vertical="center" wrapText="1"/>
    </xf>
    <xf numFmtId="165" fontId="14" fillId="2" borderId="10" xfId="2" applyNumberFormat="1" applyFont="1" applyFill="1" applyBorder="1" applyAlignment="1" applyProtection="1">
      <alignment horizontal="left" vertical="center" wrapText="1"/>
    </xf>
    <xf numFmtId="9" fontId="14" fillId="2" borderId="10" xfId="8" applyFont="1" applyFill="1" applyBorder="1" applyAlignment="1" applyProtection="1">
      <alignment horizontal="center" vertical="center" wrapText="1"/>
    </xf>
    <xf numFmtId="165" fontId="14" fillId="2" borderId="10" xfId="4" applyNumberFormat="1" applyFont="1" applyFill="1" applyBorder="1" applyAlignment="1" applyProtection="1">
      <alignment horizontal="center" vertical="center" wrapText="1"/>
    </xf>
    <xf numFmtId="165" fontId="14" fillId="2" borderId="10" xfId="1" applyNumberFormat="1" applyFont="1" applyFill="1" applyBorder="1" applyAlignment="1" applyProtection="1">
      <alignment horizontal="center" vertical="center" wrapText="1"/>
    </xf>
    <xf numFmtId="1" fontId="14" fillId="2" borderId="31" xfId="1" applyNumberFormat="1" applyFont="1" applyFill="1" applyBorder="1" applyAlignment="1" applyProtection="1">
      <alignment horizontal="center" vertical="center" wrapText="1"/>
    </xf>
    <xf numFmtId="1" fontId="14" fillId="2" borderId="29" xfId="1" applyNumberFormat="1" applyFont="1" applyFill="1" applyBorder="1" applyAlignment="1" applyProtection="1">
      <alignment horizontal="center" vertical="center" wrapText="1"/>
    </xf>
    <xf numFmtId="0" fontId="14" fillId="2" borderId="3" xfId="1" applyFont="1" applyFill="1" applyBorder="1" applyProtection="1"/>
    <xf numFmtId="2" fontId="15" fillId="2" borderId="3" xfId="1" applyNumberFormat="1" applyFont="1" applyFill="1" applyBorder="1" applyAlignment="1" applyProtection="1">
      <alignment vertical="center"/>
    </xf>
    <xf numFmtId="165" fontId="15" fillId="2" borderId="3" xfId="4" applyNumberFormat="1" applyFont="1" applyFill="1" applyBorder="1" applyAlignment="1" applyProtection="1">
      <alignment vertical="center"/>
    </xf>
    <xf numFmtId="165" fontId="15" fillId="2" borderId="23" xfId="4" applyNumberFormat="1" applyFont="1" applyFill="1" applyBorder="1" applyAlignment="1" applyProtection="1">
      <alignment vertical="center"/>
    </xf>
    <xf numFmtId="166" fontId="14" fillId="2" borderId="2" xfId="8" applyNumberFormat="1" applyFont="1" applyFill="1" applyBorder="1" applyAlignment="1" applyProtection="1">
      <alignment horizontal="center" vertical="center" wrapText="1"/>
    </xf>
    <xf numFmtId="10" fontId="14" fillId="2" borderId="1" xfId="8" applyNumberFormat="1" applyFont="1" applyFill="1" applyBorder="1" applyAlignment="1" applyProtection="1">
      <alignment horizontal="center" vertical="center" wrapText="1"/>
    </xf>
    <xf numFmtId="0" fontId="14" fillId="2" borderId="45" xfId="1" applyFont="1" applyFill="1" applyBorder="1" applyAlignment="1" applyProtection="1">
      <alignment horizontal="center" vertical="center" wrapText="1"/>
    </xf>
    <xf numFmtId="166" fontId="14" fillId="2" borderId="1" xfId="8" applyNumberFormat="1" applyFont="1" applyFill="1" applyBorder="1" applyAlignment="1" applyProtection="1">
      <alignment horizontal="center" vertical="center" wrapText="1"/>
    </xf>
    <xf numFmtId="168" fontId="14" fillId="2" borderId="2" xfId="4" applyNumberFormat="1" applyFont="1" applyFill="1" applyBorder="1" applyAlignment="1" applyProtection="1">
      <alignment horizontal="center" vertical="center" wrapText="1"/>
    </xf>
    <xf numFmtId="165" fontId="14" fillId="2" borderId="1" xfId="2" applyNumberFormat="1" applyFont="1" applyFill="1" applyBorder="1" applyAlignment="1" applyProtection="1">
      <alignment horizontal="left" vertical="center" wrapText="1"/>
    </xf>
    <xf numFmtId="165" fontId="14" fillId="2" borderId="3" xfId="3" applyNumberFormat="1" applyFont="1" applyFill="1" applyBorder="1" applyAlignment="1" applyProtection="1">
      <alignment horizontal="center" vertical="center" wrapText="1"/>
    </xf>
    <xf numFmtId="0" fontId="14" fillId="2" borderId="3" xfId="1" quotePrefix="1" applyNumberFormat="1" applyFont="1" applyFill="1" applyBorder="1" applyAlignment="1" applyProtection="1">
      <alignment horizontal="center" vertical="center" wrapText="1"/>
    </xf>
    <xf numFmtId="165" fontId="14" fillId="2" borderId="3" xfId="1" applyNumberFormat="1" applyFont="1" applyFill="1" applyBorder="1" applyAlignment="1" applyProtection="1">
      <alignment horizontal="center" vertical="center" wrapText="1"/>
    </xf>
    <xf numFmtId="2" fontId="14" fillId="2" borderId="14" xfId="1" applyNumberFormat="1" applyFont="1" applyFill="1" applyBorder="1" applyAlignment="1" applyProtection="1">
      <alignment horizontal="center" vertical="center" wrapText="1"/>
    </xf>
    <xf numFmtId="1" fontId="14" fillId="2" borderId="34" xfId="1" applyNumberFormat="1" applyFont="1" applyFill="1" applyBorder="1" applyAlignment="1" applyProtection="1">
      <alignment horizontal="center" vertical="center" wrapText="1"/>
    </xf>
    <xf numFmtId="1" fontId="14" fillId="2" borderId="45" xfId="1" applyNumberFormat="1" applyFont="1" applyFill="1" applyBorder="1" applyAlignment="1" applyProtection="1">
      <alignment horizontal="center" vertical="center" wrapText="1"/>
    </xf>
    <xf numFmtId="1" fontId="14" fillId="2" borderId="27" xfId="1" applyNumberFormat="1" applyFont="1" applyFill="1" applyBorder="1" applyAlignment="1" applyProtection="1">
      <alignment horizontal="center" vertical="center" wrapText="1"/>
    </xf>
    <xf numFmtId="166" fontId="14" fillId="2" borderId="14" xfId="6" applyNumberFormat="1" applyFont="1" applyFill="1" applyBorder="1" applyAlignment="1" applyProtection="1">
      <alignment horizontal="center" vertical="center" wrapText="1"/>
    </xf>
    <xf numFmtId="0" fontId="14" fillId="2" borderId="2" xfId="1" applyFont="1" applyFill="1" applyBorder="1" applyAlignment="1" applyProtection="1">
      <alignment vertical="center" wrapText="1"/>
    </xf>
    <xf numFmtId="2" fontId="14" fillId="2" borderId="23" xfId="1" applyNumberFormat="1" applyFont="1" applyFill="1" applyBorder="1" applyAlignment="1" applyProtection="1">
      <alignment horizontal="center" vertical="center" wrapText="1"/>
    </xf>
    <xf numFmtId="1" fontId="14" fillId="2" borderId="35" xfId="1" applyNumberFormat="1" applyFont="1" applyFill="1" applyBorder="1" applyAlignment="1" applyProtection="1">
      <alignment horizontal="center" vertical="center" wrapText="1"/>
    </xf>
    <xf numFmtId="165" fontId="14" fillId="2" borderId="10" xfId="3" applyNumberFormat="1" applyFont="1" applyFill="1" applyBorder="1" applyAlignment="1" applyProtection="1">
      <alignment horizontal="center" vertical="center" wrapText="1"/>
    </xf>
    <xf numFmtId="166" fontId="14" fillId="2" borderId="10" xfId="6" applyNumberFormat="1" applyFont="1" applyFill="1" applyBorder="1" applyAlignment="1" applyProtection="1">
      <alignment horizontal="center" vertical="center" wrapText="1"/>
    </xf>
    <xf numFmtId="2" fontId="15" fillId="2" borderId="23" xfId="1" applyNumberFormat="1" applyFont="1" applyFill="1" applyBorder="1" applyAlignment="1" applyProtection="1">
      <alignment vertical="center"/>
    </xf>
    <xf numFmtId="2" fontId="15" fillId="2" borderId="15" xfId="1" applyNumberFormat="1" applyFont="1" applyFill="1" applyBorder="1" applyAlignment="1" applyProtection="1">
      <alignment vertical="center"/>
    </xf>
    <xf numFmtId="1" fontId="14" fillId="2" borderId="14" xfId="1" applyNumberFormat="1" applyFont="1" applyFill="1" applyBorder="1" applyAlignment="1" applyProtection="1">
      <alignment horizontal="center" vertical="center" wrapText="1"/>
    </xf>
    <xf numFmtId="165" fontId="14" fillId="2" borderId="14" xfId="2" applyNumberFormat="1" applyFont="1" applyFill="1" applyBorder="1" applyAlignment="1" applyProtection="1">
      <alignment horizontal="left" vertical="center" wrapText="1"/>
    </xf>
    <xf numFmtId="10" fontId="14" fillId="2" borderId="14" xfId="6" applyNumberFormat="1" applyFont="1" applyFill="1" applyBorder="1" applyAlignment="1" applyProtection="1">
      <alignment horizontal="center" vertical="center" wrapText="1"/>
    </xf>
    <xf numFmtId="1" fontId="14" fillId="2" borderId="28" xfId="1" applyNumberFormat="1" applyFont="1" applyFill="1" applyBorder="1" applyAlignment="1" applyProtection="1">
      <alignment horizontal="center" vertical="center" wrapText="1"/>
    </xf>
    <xf numFmtId="43" fontId="19" fillId="2" borderId="0" xfId="9" applyFont="1" applyFill="1" applyProtection="1"/>
    <xf numFmtId="2" fontId="15" fillId="2" borderId="4" xfId="1" applyNumberFormat="1" applyFont="1" applyFill="1" applyBorder="1" applyAlignment="1" applyProtection="1">
      <alignment vertical="center"/>
    </xf>
    <xf numFmtId="2" fontId="15" fillId="2" borderId="24" xfId="1" applyNumberFormat="1" applyFont="1" applyFill="1" applyBorder="1" applyAlignment="1" applyProtection="1">
      <alignment vertical="center"/>
    </xf>
    <xf numFmtId="0" fontId="14" fillId="2" borderId="5" xfId="1" applyFont="1" applyFill="1" applyBorder="1" applyAlignment="1" applyProtection="1">
      <alignment horizontal="center" vertical="center" wrapText="1"/>
    </xf>
    <xf numFmtId="1" fontId="14" fillId="2" borderId="18" xfId="1" applyNumberFormat="1" applyFont="1" applyFill="1" applyBorder="1" applyAlignment="1" applyProtection="1">
      <alignment horizontal="center" vertical="center" wrapText="1"/>
    </xf>
    <xf numFmtId="0" fontId="14" fillId="2" borderId="19" xfId="1" applyFont="1" applyFill="1" applyBorder="1" applyAlignment="1" applyProtection="1">
      <alignment horizontal="center" vertical="center" wrapText="1"/>
    </xf>
    <xf numFmtId="0" fontId="14" fillId="2" borderId="22" xfId="1" applyFont="1" applyFill="1" applyBorder="1" applyAlignment="1" applyProtection="1">
      <alignment horizontal="center" vertical="center" wrapText="1"/>
    </xf>
    <xf numFmtId="165" fontId="14" fillId="2" borderId="19" xfId="4" applyNumberFormat="1" applyFont="1" applyFill="1" applyBorder="1" applyAlignment="1" applyProtection="1">
      <alignment horizontal="center" vertical="center" wrapText="1"/>
    </xf>
    <xf numFmtId="165" fontId="14" fillId="2" borderId="19" xfId="3" applyNumberFormat="1" applyFont="1" applyFill="1" applyBorder="1" applyAlignment="1" applyProtection="1">
      <alignment horizontal="center" vertical="center" wrapText="1"/>
    </xf>
    <xf numFmtId="10" fontId="14" fillId="2" borderId="19" xfId="8" applyNumberFormat="1" applyFont="1" applyFill="1" applyBorder="1" applyAlignment="1" applyProtection="1">
      <alignment horizontal="center" vertical="center" wrapText="1"/>
    </xf>
    <xf numFmtId="165" fontId="14" fillId="2" borderId="6" xfId="2" applyNumberFormat="1" applyFont="1" applyFill="1" applyBorder="1" applyAlignment="1" applyProtection="1">
      <alignment horizontal="left" vertical="center" wrapText="1"/>
    </xf>
    <xf numFmtId="0" fontId="14" fillId="2" borderId="38" xfId="1" applyFont="1" applyFill="1" applyBorder="1" applyAlignment="1" applyProtection="1">
      <alignment horizontal="center" vertical="center" wrapText="1"/>
    </xf>
    <xf numFmtId="0" fontId="14" fillId="2" borderId="17" xfId="1" applyFont="1" applyFill="1" applyBorder="1" applyAlignment="1" applyProtection="1">
      <alignment horizontal="center" vertical="center" wrapText="1"/>
    </xf>
    <xf numFmtId="1" fontId="16" fillId="2" borderId="0" xfId="1" applyNumberFormat="1" applyFont="1" applyFill="1" applyAlignment="1" applyProtection="1">
      <alignment horizontal="center"/>
    </xf>
    <xf numFmtId="0" fontId="16" fillId="2" borderId="0" xfId="1" applyFont="1" applyFill="1" applyProtection="1"/>
    <xf numFmtId="0" fontId="14" fillId="2" borderId="0" xfId="1" applyNumberFormat="1" applyFont="1" applyFill="1" applyProtection="1"/>
    <xf numFmtId="2" fontId="15" fillId="2" borderId="0" xfId="1" applyNumberFormat="1" applyFont="1" applyFill="1" applyBorder="1" applyAlignment="1" applyProtection="1">
      <alignment vertical="center"/>
    </xf>
    <xf numFmtId="43" fontId="14" fillId="2" borderId="0" xfId="1" applyNumberFormat="1" applyFont="1" applyFill="1" applyProtection="1"/>
    <xf numFmtId="10" fontId="14" fillId="2" borderId="0" xfId="6" applyNumberFormat="1" applyFont="1" applyFill="1" applyProtection="1"/>
    <xf numFmtId="165" fontId="14" fillId="2" borderId="0" xfId="1" applyNumberFormat="1" applyFont="1" applyFill="1" applyProtection="1"/>
    <xf numFmtId="165" fontId="14" fillId="2" borderId="0" xfId="4" applyNumberFormat="1" applyFont="1" applyFill="1" applyProtection="1"/>
    <xf numFmtId="165" fontId="14" fillId="2" borderId="0" xfId="6" applyNumberFormat="1" applyFont="1" applyFill="1" applyProtection="1"/>
    <xf numFmtId="43" fontId="14" fillId="2" borderId="0" xfId="4" applyNumberFormat="1" applyFont="1" applyFill="1" applyProtection="1"/>
    <xf numFmtId="165" fontId="14" fillId="2" borderId="0" xfId="9" applyNumberFormat="1" applyFont="1" applyFill="1" applyAlignment="1" applyProtection="1"/>
    <xf numFmtId="172" fontId="16" fillId="2" borderId="0" xfId="1" applyNumberFormat="1" applyFont="1" applyFill="1" applyProtection="1"/>
    <xf numFmtId="169" fontId="14" fillId="2" borderId="0" xfId="1" applyNumberFormat="1" applyFont="1" applyFill="1" applyProtection="1"/>
    <xf numFmtId="165" fontId="14" fillId="2" borderId="0" xfId="9" applyNumberFormat="1" applyFont="1" applyFill="1" applyProtection="1"/>
    <xf numFmtId="0" fontId="22" fillId="0" borderId="0" xfId="0" applyFont="1"/>
    <xf numFmtId="0" fontId="23" fillId="0" borderId="0" xfId="0" applyFont="1"/>
    <xf numFmtId="0" fontId="24" fillId="0" borderId="30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center" vertical="center" wrapText="1"/>
    </xf>
    <xf numFmtId="168" fontId="25" fillId="0" borderId="2" xfId="5" applyNumberFormat="1" applyFont="1" applyBorder="1" applyAlignment="1">
      <alignment horizontal="center" vertical="center" wrapText="1"/>
    </xf>
    <xf numFmtId="170" fontId="23" fillId="0" borderId="0" xfId="0" applyNumberFormat="1" applyFont="1"/>
    <xf numFmtId="0" fontId="25" fillId="0" borderId="7" xfId="0" applyFont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168" fontId="26" fillId="0" borderId="10" xfId="0" applyNumberFormat="1" applyFont="1" applyBorder="1" applyAlignment="1">
      <alignment horizontal="center" vertical="center" wrapText="1"/>
    </xf>
    <xf numFmtId="168" fontId="26" fillId="0" borderId="29" xfId="0" applyNumberFormat="1" applyFont="1" applyBorder="1" applyAlignment="1">
      <alignment horizontal="center" vertical="center" wrapText="1"/>
    </xf>
    <xf numFmtId="0" fontId="25" fillId="0" borderId="0" xfId="0" applyFont="1"/>
    <xf numFmtId="0" fontId="25" fillId="0" borderId="0" xfId="0" applyFont="1" applyBorder="1"/>
    <xf numFmtId="0" fontId="27" fillId="0" borderId="0" xfId="0" applyFont="1" applyFill="1" applyAlignment="1">
      <alignment horizontal="justify" vertical="center" wrapText="1"/>
    </xf>
    <xf numFmtId="0" fontId="27" fillId="0" borderId="0" xfId="0" applyFont="1" applyFill="1" applyBorder="1" applyAlignment="1">
      <alignment horizontal="justify" vertical="center" wrapText="1"/>
    </xf>
    <xf numFmtId="0" fontId="28" fillId="0" borderId="0" xfId="0" applyFont="1" applyFill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right" vertical="center" wrapText="1"/>
    </xf>
    <xf numFmtId="168" fontId="29" fillId="0" borderId="16" xfId="12" applyNumberFormat="1" applyFont="1" applyFill="1" applyBorder="1" applyAlignment="1">
      <alignment horizontal="center" vertical="center" wrapText="1"/>
    </xf>
    <xf numFmtId="168" fontId="29" fillId="0" borderId="28" xfId="12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168" fontId="27" fillId="0" borderId="2" xfId="12" applyNumberFormat="1" applyFont="1" applyFill="1" applyBorder="1" applyAlignment="1">
      <alignment horizontal="center" vertical="center" wrapText="1"/>
    </xf>
    <xf numFmtId="168" fontId="27" fillId="0" borderId="26" xfId="12" applyNumberFormat="1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justify" vertical="center" wrapText="1"/>
    </xf>
    <xf numFmtId="0" fontId="27" fillId="0" borderId="2" xfId="0" applyFont="1" applyFill="1" applyBorder="1" applyAlignment="1">
      <alignment horizontal="justify" vertical="center" wrapText="1"/>
    </xf>
    <xf numFmtId="168" fontId="27" fillId="0" borderId="2" xfId="12" applyNumberFormat="1" applyFont="1" applyFill="1" applyBorder="1" applyAlignment="1">
      <alignment horizontal="justify" vertical="center" wrapText="1"/>
    </xf>
    <xf numFmtId="170" fontId="27" fillId="0" borderId="0" xfId="0" applyNumberFormat="1" applyFont="1" applyFill="1" applyBorder="1" applyAlignment="1">
      <alignment horizontal="justify" vertical="center" wrapText="1"/>
    </xf>
    <xf numFmtId="168" fontId="27" fillId="0" borderId="0" xfId="12" applyNumberFormat="1" applyFont="1" applyFill="1" applyBorder="1" applyAlignment="1">
      <alignment horizontal="justify" vertical="center" wrapText="1"/>
    </xf>
    <xf numFmtId="0" fontId="27" fillId="0" borderId="11" xfId="0" applyFont="1" applyFill="1" applyBorder="1" applyAlignment="1">
      <alignment horizontal="justify" vertical="center" wrapText="1"/>
    </xf>
    <xf numFmtId="0" fontId="27" fillId="0" borderId="1" xfId="0" applyFont="1" applyFill="1" applyBorder="1" applyAlignment="1">
      <alignment horizontal="justify" vertical="center" wrapText="1"/>
    </xf>
    <xf numFmtId="168" fontId="27" fillId="0" borderId="1" xfId="12" applyNumberFormat="1" applyFont="1" applyFill="1" applyBorder="1" applyAlignment="1">
      <alignment horizontal="justify" vertical="center" wrapText="1"/>
    </xf>
    <xf numFmtId="0" fontId="25" fillId="0" borderId="0" xfId="0" applyFont="1" applyFill="1"/>
    <xf numFmtId="165" fontId="27" fillId="0" borderId="10" xfId="12" applyNumberFormat="1" applyFont="1" applyFill="1" applyBorder="1" applyAlignment="1">
      <alignment horizontal="justify" vertical="center" wrapText="1"/>
    </xf>
    <xf numFmtId="168" fontId="27" fillId="0" borderId="10" xfId="12" applyNumberFormat="1" applyFont="1" applyFill="1" applyBorder="1" applyAlignment="1">
      <alignment horizontal="justify" vertical="center" wrapText="1"/>
    </xf>
    <xf numFmtId="0" fontId="22" fillId="0" borderId="0" xfId="0" applyFont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justify" vertical="center" wrapText="1"/>
    </xf>
    <xf numFmtId="0" fontId="27" fillId="0" borderId="10" xfId="0" applyFont="1" applyFill="1" applyBorder="1" applyAlignment="1">
      <alignment horizontal="justify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29" fillId="0" borderId="30" xfId="0" applyFont="1" applyFill="1" applyBorder="1" applyAlignment="1">
      <alignment horizontal="center" vertical="center" wrapText="1"/>
    </xf>
    <xf numFmtId="0" fontId="29" fillId="0" borderId="16" xfId="0" applyFont="1" applyFill="1" applyBorder="1" applyAlignment="1">
      <alignment horizontal="center" vertical="center" wrapText="1"/>
    </xf>
    <xf numFmtId="1" fontId="21" fillId="2" borderId="43" xfId="1" applyNumberFormat="1" applyFont="1" applyFill="1" applyBorder="1" applyAlignment="1" applyProtection="1">
      <alignment horizontal="center" vertical="center" wrapText="1"/>
    </xf>
    <xf numFmtId="1" fontId="21" fillId="2" borderId="0" xfId="1" applyNumberFormat="1" applyFont="1" applyFill="1" applyBorder="1" applyAlignment="1" applyProtection="1">
      <alignment horizontal="center" vertical="center" wrapText="1"/>
    </xf>
    <xf numFmtId="1" fontId="21" fillId="2" borderId="36" xfId="1" applyNumberFormat="1" applyFont="1" applyFill="1" applyBorder="1" applyAlignment="1" applyProtection="1">
      <alignment horizontal="center" vertical="center" wrapText="1"/>
    </xf>
    <xf numFmtId="1" fontId="21" fillId="2" borderId="44" xfId="1" applyNumberFormat="1" applyFont="1" applyFill="1" applyBorder="1" applyAlignment="1" applyProtection="1">
      <alignment horizontal="center" vertical="center" wrapText="1"/>
    </xf>
    <xf numFmtId="1" fontId="21" fillId="2" borderId="32" xfId="1" applyNumberFormat="1" applyFont="1" applyFill="1" applyBorder="1" applyAlignment="1" applyProtection="1">
      <alignment horizontal="center" vertical="center" wrapText="1"/>
    </xf>
    <xf numFmtId="1" fontId="21" fillId="2" borderId="37" xfId="1" applyNumberFormat="1" applyFont="1" applyFill="1" applyBorder="1" applyAlignment="1" applyProtection="1">
      <alignment horizontal="center" vertical="center" wrapText="1"/>
    </xf>
    <xf numFmtId="1" fontId="21" fillId="2" borderId="40" xfId="1" applyNumberFormat="1" applyFont="1" applyFill="1" applyBorder="1" applyAlignment="1" applyProtection="1">
      <alignment horizontal="center" vertical="center" wrapText="1"/>
    </xf>
    <xf numFmtId="1" fontId="21" fillId="2" borderId="41" xfId="1" applyNumberFormat="1" applyFont="1" applyFill="1" applyBorder="1" applyAlignment="1" applyProtection="1">
      <alignment horizontal="center" vertical="center" wrapText="1"/>
    </xf>
    <xf numFmtId="1" fontId="21" fillId="2" borderId="42" xfId="1" applyNumberFormat="1" applyFont="1" applyFill="1" applyBorder="1" applyAlignment="1" applyProtection="1">
      <alignment horizontal="center" vertical="center" wrapText="1"/>
    </xf>
    <xf numFmtId="2" fontId="14" fillId="2" borderId="1" xfId="1" applyNumberFormat="1" applyFont="1" applyFill="1" applyBorder="1" applyAlignment="1" applyProtection="1">
      <alignment horizontal="center" vertical="center" wrapText="1"/>
    </xf>
    <xf numFmtId="2" fontId="14" fillId="2" borderId="3" xfId="1" applyNumberFormat="1" applyFont="1" applyFill="1" applyBorder="1" applyAlignment="1" applyProtection="1">
      <alignment horizontal="center" vertical="center" wrapText="1"/>
    </xf>
    <xf numFmtId="0" fontId="14" fillId="2" borderId="1" xfId="1" applyFont="1" applyFill="1" applyBorder="1" applyAlignment="1" applyProtection="1">
      <alignment horizontal="center" vertical="center" wrapText="1"/>
    </xf>
    <xf numFmtId="0" fontId="14" fillId="2" borderId="3" xfId="1" applyFont="1" applyFill="1" applyBorder="1" applyAlignment="1" applyProtection="1">
      <alignment horizontal="center" vertical="center" wrapText="1"/>
    </xf>
    <xf numFmtId="0" fontId="14" fillId="2" borderId="14" xfId="1" applyFont="1" applyFill="1" applyBorder="1" applyAlignment="1" applyProtection="1">
      <alignment horizontal="center" vertical="center" wrapText="1"/>
    </xf>
    <xf numFmtId="0" fontId="14" fillId="2" borderId="11" xfId="1" applyFont="1" applyFill="1" applyBorder="1" applyAlignment="1" applyProtection="1">
      <alignment horizontal="center" vertical="center" wrapText="1"/>
    </xf>
    <xf numFmtId="0" fontId="14" fillId="2" borderId="9" xfId="1" applyFont="1" applyFill="1" applyBorder="1" applyAlignment="1" applyProtection="1">
      <alignment horizontal="center" vertical="center" wrapText="1"/>
    </xf>
    <xf numFmtId="1" fontId="14" fillId="2" borderId="1" xfId="1" applyNumberFormat="1" applyFont="1" applyFill="1" applyBorder="1" applyAlignment="1" applyProtection="1">
      <alignment horizontal="center" vertical="center" wrapText="1"/>
    </xf>
    <xf numFmtId="1" fontId="14" fillId="2" borderId="3" xfId="1" applyNumberFormat="1" applyFont="1" applyFill="1" applyBorder="1" applyAlignment="1" applyProtection="1">
      <alignment horizontal="center" vertical="center" wrapText="1"/>
    </xf>
    <xf numFmtId="1" fontId="14" fillId="2" borderId="14" xfId="1" applyNumberFormat="1" applyFont="1" applyFill="1" applyBorder="1" applyAlignment="1" applyProtection="1">
      <alignment horizontal="center" vertical="center" wrapText="1"/>
    </xf>
    <xf numFmtId="0" fontId="14" fillId="2" borderId="1" xfId="1" applyNumberFormat="1" applyFont="1" applyFill="1" applyBorder="1" applyAlignment="1" applyProtection="1">
      <alignment horizontal="center" vertical="center" wrapText="1"/>
    </xf>
    <xf numFmtId="0" fontId="14" fillId="2" borderId="3" xfId="1" applyNumberFormat="1" applyFont="1" applyFill="1" applyBorder="1" applyAlignment="1" applyProtection="1">
      <alignment horizontal="center" vertical="center" wrapText="1"/>
    </xf>
    <xf numFmtId="0" fontId="14" fillId="2" borderId="20" xfId="1" applyFont="1" applyFill="1" applyBorder="1" applyAlignment="1" applyProtection="1">
      <alignment horizontal="center" vertical="center" wrapText="1"/>
    </xf>
    <xf numFmtId="0" fontId="14" fillId="2" borderId="22" xfId="1" applyFont="1" applyFill="1" applyBorder="1" applyAlignment="1" applyProtection="1">
      <alignment horizontal="center" vertical="center" wrapText="1"/>
    </xf>
    <xf numFmtId="2" fontId="14" fillId="2" borderId="22" xfId="1" applyNumberFormat="1" applyFont="1" applyFill="1" applyBorder="1" applyAlignment="1" applyProtection="1">
      <alignment horizontal="center" vertical="center" wrapText="1"/>
    </xf>
    <xf numFmtId="165" fontId="14" fillId="2" borderId="1" xfId="4" applyNumberFormat="1" applyFont="1" applyFill="1" applyBorder="1" applyAlignment="1" applyProtection="1">
      <alignment horizontal="center" vertical="center" wrapText="1"/>
    </xf>
    <xf numFmtId="165" fontId="14" fillId="2" borderId="3" xfId="4" applyNumberFormat="1" applyFont="1" applyFill="1" applyBorder="1" applyAlignment="1" applyProtection="1">
      <alignment horizontal="center" vertical="center" wrapText="1"/>
    </xf>
    <xf numFmtId="0" fontId="14" fillId="2" borderId="1" xfId="4" applyNumberFormat="1" applyFont="1" applyFill="1" applyBorder="1" applyAlignment="1" applyProtection="1">
      <alignment horizontal="center" vertical="center" wrapText="1"/>
    </xf>
    <xf numFmtId="0" fontId="14" fillId="2" borderId="3" xfId="4" applyNumberFormat="1" applyFont="1" applyFill="1" applyBorder="1" applyAlignment="1" applyProtection="1">
      <alignment horizontal="center" vertical="center" wrapText="1"/>
    </xf>
    <xf numFmtId="0" fontId="14" fillId="2" borderId="21" xfId="1" applyFont="1" applyFill="1" applyBorder="1" applyAlignment="1" applyProtection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20" fillId="2" borderId="3" xfId="1" applyFont="1" applyFill="1" applyBorder="1" applyAlignment="1">
      <alignment horizontal="center" vertical="center" wrapText="1"/>
    </xf>
    <xf numFmtId="2" fontId="14" fillId="2" borderId="14" xfId="1" applyNumberFormat="1" applyFont="1" applyFill="1" applyBorder="1" applyAlignment="1" applyProtection="1">
      <alignment horizontal="center" vertical="center" wrapText="1"/>
    </xf>
    <xf numFmtId="0" fontId="20" fillId="2" borderId="2" xfId="1" applyFont="1" applyFill="1" applyBorder="1" applyAlignment="1">
      <alignment horizontal="center" vertical="center" wrapText="1"/>
    </xf>
    <xf numFmtId="0" fontId="20" fillId="2" borderId="0" xfId="1" applyFont="1" applyFill="1" applyBorder="1" applyAlignment="1">
      <alignment horizontal="center" vertical="center" wrapText="1"/>
    </xf>
    <xf numFmtId="0" fontId="17" fillId="2" borderId="0" xfId="1" applyFont="1" applyFill="1" applyAlignment="1" applyProtection="1">
      <alignment horizontal="center"/>
    </xf>
    <xf numFmtId="0" fontId="18" fillId="2" borderId="0" xfId="1" applyFont="1" applyFill="1" applyAlignment="1" applyProtection="1">
      <alignment horizontal="center" wrapText="1"/>
    </xf>
    <xf numFmtId="43" fontId="29" fillId="2" borderId="0" xfId="2" applyFont="1" applyFill="1" applyAlignment="1" applyProtection="1">
      <alignment horizontal="center" vertical="center" wrapText="1"/>
    </xf>
    <xf numFmtId="43" fontId="29" fillId="2" borderId="0" xfId="1" applyNumberFormat="1" applyFont="1" applyFill="1" applyAlignment="1" applyProtection="1"/>
    <xf numFmtId="0" fontId="29" fillId="2" borderId="0" xfId="1" applyFont="1" applyFill="1" applyAlignment="1" applyProtection="1"/>
    <xf numFmtId="43" fontId="27" fillId="2" borderId="0" xfId="2" applyFont="1" applyFill="1" applyProtection="1"/>
    <xf numFmtId="43" fontId="27" fillId="2" borderId="0" xfId="2" applyFont="1" applyFill="1" applyBorder="1" applyAlignment="1" applyProtection="1">
      <alignment horizontal="center" vertical="center" wrapText="1"/>
    </xf>
    <xf numFmtId="43" fontId="27" fillId="2" borderId="0" xfId="2" applyFont="1" applyFill="1" applyBorder="1" applyProtection="1"/>
    <xf numFmtId="0" fontId="27" fillId="2" borderId="0" xfId="1" applyFont="1" applyFill="1" applyProtection="1"/>
    <xf numFmtId="0" fontId="27" fillId="2" borderId="7" xfId="1" applyFont="1" applyFill="1" applyBorder="1" applyAlignment="1" applyProtection="1">
      <alignment horizontal="center" vertical="center" wrapText="1"/>
    </xf>
    <xf numFmtId="0" fontId="27" fillId="2" borderId="2" xfId="1" applyFont="1" applyFill="1" applyBorder="1" applyAlignment="1" applyProtection="1">
      <alignment horizontal="center" vertical="center" wrapText="1"/>
    </xf>
    <xf numFmtId="0" fontId="27" fillId="2" borderId="3" xfId="1" applyFont="1" applyFill="1" applyBorder="1" applyAlignment="1" applyProtection="1">
      <alignment horizontal="center" vertical="center" wrapText="1"/>
    </xf>
    <xf numFmtId="0" fontId="27" fillId="2" borderId="2" xfId="1" quotePrefix="1" applyNumberFormat="1" applyFont="1" applyFill="1" applyBorder="1" applyAlignment="1" applyProtection="1">
      <alignment horizontal="center" vertical="center" wrapText="1"/>
    </xf>
    <xf numFmtId="2" fontId="27" fillId="2" borderId="2" xfId="1" applyNumberFormat="1" applyFont="1" applyFill="1" applyBorder="1" applyAlignment="1" applyProtection="1">
      <alignment horizontal="center" vertical="center" wrapText="1"/>
    </xf>
    <xf numFmtId="165" fontId="27" fillId="2" borderId="2" xfId="4" applyNumberFormat="1" applyFont="1" applyFill="1" applyBorder="1" applyAlignment="1" applyProtection="1">
      <alignment horizontal="center" vertical="center" wrapText="1"/>
    </xf>
    <xf numFmtId="10" fontId="27" fillId="2" borderId="2" xfId="6" applyNumberFormat="1" applyFont="1" applyFill="1" applyBorder="1" applyAlignment="1" applyProtection="1">
      <alignment horizontal="center" vertical="center" wrapText="1"/>
    </xf>
    <xf numFmtId="165" fontId="27" fillId="2" borderId="2" xfId="1" applyNumberFormat="1" applyFont="1" applyFill="1" applyBorder="1" applyAlignment="1" applyProtection="1">
      <alignment horizontal="center" vertical="center" wrapText="1"/>
    </xf>
    <xf numFmtId="0" fontId="27" fillId="2" borderId="15" xfId="1" applyFont="1" applyFill="1" applyBorder="1" applyAlignment="1" applyProtection="1">
      <alignment horizontal="center" vertical="center" wrapText="1"/>
    </xf>
    <xf numFmtId="0" fontId="27" fillId="2" borderId="26" xfId="1" applyFont="1" applyFill="1" applyBorder="1" applyAlignment="1" applyProtection="1">
      <alignment horizontal="center" vertical="center" wrapText="1"/>
    </xf>
    <xf numFmtId="43" fontId="29" fillId="2" borderId="0" xfId="2" applyFont="1" applyFill="1" applyAlignment="1" applyProtection="1"/>
    <xf numFmtId="43" fontId="32" fillId="2" borderId="0" xfId="2" applyFont="1" applyFill="1" applyProtection="1"/>
    <xf numFmtId="0" fontId="32" fillId="2" borderId="0" xfId="1" applyFont="1" applyFill="1" applyProtection="1"/>
    <xf numFmtId="43" fontId="32" fillId="2" borderId="0" xfId="9" applyFont="1" applyFill="1" applyProtection="1"/>
    <xf numFmtId="165" fontId="27" fillId="2" borderId="1" xfId="3" applyNumberFormat="1" applyFont="1" applyFill="1" applyBorder="1" applyAlignment="1" applyProtection="1">
      <alignment horizontal="center" vertical="center" wrapText="1"/>
    </xf>
    <xf numFmtId="166" fontId="27" fillId="2" borderId="1" xfId="8" applyNumberFormat="1" applyFont="1" applyFill="1" applyBorder="1" applyAlignment="1" applyProtection="1">
      <alignment horizontal="center" vertical="center" wrapText="1"/>
    </xf>
    <xf numFmtId="165" fontId="27" fillId="2" borderId="3" xfId="4" applyNumberFormat="1" applyFont="1" applyFill="1" applyBorder="1" applyAlignment="1" applyProtection="1">
      <alignment horizontal="center" vertical="center" wrapText="1"/>
    </xf>
    <xf numFmtId="0" fontId="27" fillId="2" borderId="34" xfId="1" applyFont="1" applyFill="1" applyBorder="1" applyAlignment="1" applyProtection="1">
      <alignment horizontal="center" vertical="center" wrapText="1"/>
    </xf>
    <xf numFmtId="0" fontId="27" fillId="2" borderId="27" xfId="1" applyFont="1" applyFill="1" applyBorder="1" applyAlignment="1" applyProtection="1">
      <alignment horizontal="center" vertical="center" wrapText="1"/>
    </xf>
    <xf numFmtId="0" fontId="27" fillId="2" borderId="0" xfId="1" applyFont="1" applyFill="1" applyAlignment="1" applyProtection="1">
      <alignment horizontal="center"/>
    </xf>
    <xf numFmtId="43" fontId="27" fillId="2" borderId="0" xfId="2" applyFont="1" applyFill="1" applyAlignment="1" applyProtection="1">
      <alignment horizontal="center" vertical="center" wrapText="1"/>
    </xf>
    <xf numFmtId="0" fontId="27" fillId="2" borderId="0" xfId="1" applyFont="1" applyFill="1" applyBorder="1" applyProtection="1"/>
    <xf numFmtId="165" fontId="29" fillId="2" borderId="13" xfId="4" applyNumberFormat="1" applyFont="1" applyFill="1" applyBorder="1" applyAlignment="1" applyProtection="1">
      <alignment vertical="center"/>
    </xf>
    <xf numFmtId="165" fontId="29" fillId="2" borderId="2" xfId="4" applyNumberFormat="1" applyFont="1" applyFill="1" applyBorder="1" applyAlignment="1" applyProtection="1">
      <alignment vertical="center"/>
    </xf>
    <xf numFmtId="165" fontId="29" fillId="2" borderId="10" xfId="4" applyNumberFormat="1" applyFont="1" applyFill="1" applyBorder="1" applyAlignment="1" applyProtection="1">
      <alignment vertical="center"/>
    </xf>
    <xf numFmtId="165" fontId="29" fillId="2" borderId="3" xfId="4" applyNumberFormat="1" applyFont="1" applyFill="1" applyBorder="1" applyAlignment="1" applyProtection="1">
      <alignment vertical="center"/>
    </xf>
    <xf numFmtId="165" fontId="29" fillId="2" borderId="16" xfId="4" applyNumberFormat="1" applyFont="1" applyFill="1" applyBorder="1" applyAlignment="1" applyProtection="1">
      <alignment vertical="center"/>
    </xf>
    <xf numFmtId="43" fontId="27" fillId="2" borderId="0" xfId="1" applyNumberFormat="1" applyFont="1" applyFill="1" applyProtection="1"/>
    <xf numFmtId="165" fontId="27" fillId="2" borderId="0" xfId="4" applyNumberFormat="1" applyFont="1" applyFill="1" applyProtection="1"/>
    <xf numFmtId="169" fontId="27" fillId="2" borderId="0" xfId="1" applyNumberFormat="1" applyFont="1" applyFill="1" applyProtection="1"/>
    <xf numFmtId="0" fontId="30" fillId="2" borderId="0" xfId="1" applyFont="1" applyFill="1" applyAlignment="1" applyProtection="1">
      <alignment horizontal="center"/>
    </xf>
    <xf numFmtId="0" fontId="30" fillId="2" borderId="0" xfId="1" applyFont="1" applyFill="1" applyAlignment="1" applyProtection="1">
      <alignment horizontal="center"/>
    </xf>
    <xf numFmtId="0" fontId="31" fillId="2" borderId="0" xfId="1" applyFont="1" applyFill="1" applyAlignment="1" applyProtection="1">
      <alignment horizontal="center" wrapText="1"/>
    </xf>
    <xf numFmtId="168" fontId="32" fillId="2" borderId="0" xfId="2" applyNumberFormat="1" applyFont="1" applyFill="1" applyBorder="1"/>
    <xf numFmtId="1" fontId="27" fillId="2" borderId="0" xfId="1" applyNumberFormat="1" applyFont="1" applyFill="1" applyAlignment="1" applyProtection="1">
      <alignment horizontal="center"/>
    </xf>
    <xf numFmtId="0" fontId="27" fillId="2" borderId="0" xfId="1" applyNumberFormat="1" applyFont="1" applyFill="1" applyAlignment="1" applyProtection="1">
      <alignment horizontal="center"/>
    </xf>
    <xf numFmtId="10" fontId="27" fillId="2" borderId="0" xfId="6" applyNumberFormat="1" applyFont="1" applyFill="1" applyAlignment="1" applyProtection="1">
      <alignment horizontal="center"/>
    </xf>
    <xf numFmtId="0" fontId="27" fillId="2" borderId="0" xfId="1" applyFont="1" applyFill="1" applyAlignment="1" applyProtection="1">
      <alignment horizontal="centerContinuous"/>
    </xf>
    <xf numFmtId="0" fontId="29" fillId="2" borderId="18" xfId="1" applyFont="1" applyFill="1" applyBorder="1" applyAlignment="1" applyProtection="1">
      <alignment horizontal="center" vertical="center" wrapText="1"/>
    </xf>
    <xf numFmtId="0" fontId="29" fillId="2" borderId="19" xfId="1" applyFont="1" applyFill="1" applyBorder="1" applyAlignment="1" applyProtection="1">
      <alignment horizontal="center" vertical="center" wrapText="1"/>
    </xf>
    <xf numFmtId="10" fontId="29" fillId="2" borderId="19" xfId="6" applyNumberFormat="1" applyFont="1" applyFill="1" applyBorder="1" applyAlignment="1" applyProtection="1">
      <alignment horizontal="center" vertical="center" wrapText="1"/>
    </xf>
    <xf numFmtId="0" fontId="29" fillId="2" borderId="48" xfId="1" applyFont="1" applyFill="1" applyBorder="1" applyAlignment="1" applyProtection="1">
      <alignment horizontal="center" vertical="center" wrapText="1"/>
    </xf>
    <xf numFmtId="0" fontId="27" fillId="2" borderId="21" xfId="1" applyFont="1" applyFill="1" applyBorder="1" applyAlignment="1" applyProtection="1">
      <alignment horizontal="center" vertical="center" wrapText="1"/>
    </xf>
    <xf numFmtId="2" fontId="27" fillId="2" borderId="3" xfId="1" applyNumberFormat="1" applyFont="1" applyFill="1" applyBorder="1" applyAlignment="1" applyProtection="1">
      <alignment horizontal="center" vertical="center" wrapText="1"/>
    </xf>
    <xf numFmtId="2" fontId="27" fillId="2" borderId="1" xfId="1" applyNumberFormat="1" applyFont="1" applyFill="1" applyBorder="1" applyAlignment="1" applyProtection="1">
      <alignment horizontal="center" vertical="center" wrapText="1"/>
    </xf>
    <xf numFmtId="0" fontId="1" fillId="2" borderId="0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27" fillId="2" borderId="3" xfId="1" applyFont="1" applyFill="1" applyBorder="1" applyAlignment="1" applyProtection="1">
      <alignment horizontal="center" vertical="center"/>
    </xf>
    <xf numFmtId="10" fontId="27" fillId="2" borderId="3" xfId="1" applyNumberFormat="1" applyFont="1" applyFill="1" applyBorder="1" applyAlignment="1" applyProtection="1">
      <alignment horizontal="center" vertical="center" wrapText="1"/>
    </xf>
    <xf numFmtId="0" fontId="27" fillId="2" borderId="23" xfId="1" applyFont="1" applyFill="1" applyBorder="1" applyAlignment="1" applyProtection="1">
      <alignment horizontal="center" vertical="center" wrapText="1"/>
    </xf>
    <xf numFmtId="0" fontId="27" fillId="2" borderId="39" xfId="1" applyFont="1" applyFill="1" applyBorder="1" applyAlignment="1" applyProtection="1">
      <alignment horizontal="center" vertical="center" wrapText="1"/>
    </xf>
    <xf numFmtId="0" fontId="1" fillId="2" borderId="43" xfId="1" applyFont="1" applyFill="1" applyBorder="1" applyAlignment="1">
      <alignment horizontal="center" vertical="center" wrapText="1"/>
    </xf>
    <xf numFmtId="0" fontId="27" fillId="2" borderId="9" xfId="1" applyFont="1" applyFill="1" applyBorder="1" applyAlignment="1" applyProtection="1">
      <alignment horizontal="center" vertical="center" wrapText="1"/>
    </xf>
    <xf numFmtId="2" fontId="27" fillId="2" borderId="3" xfId="1" applyNumberFormat="1" applyFont="1" applyFill="1" applyBorder="1" applyAlignment="1" applyProtection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27" fillId="2" borderId="2" xfId="1" applyFont="1" applyFill="1" applyBorder="1" applyAlignment="1" applyProtection="1">
      <alignment horizontal="center" vertical="center"/>
    </xf>
    <xf numFmtId="9" fontId="27" fillId="2" borderId="2" xfId="1" applyNumberFormat="1" applyFont="1" applyFill="1" applyBorder="1" applyAlignment="1" applyProtection="1">
      <alignment horizontal="center" vertical="center" wrapText="1"/>
    </xf>
    <xf numFmtId="0" fontId="1" fillId="2" borderId="47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" fillId="2" borderId="0" xfId="1" applyFont="1" applyFill="1" applyAlignment="1">
      <alignment horizontal="center" vertical="center" wrapText="1"/>
    </xf>
    <xf numFmtId="0" fontId="27" fillId="2" borderId="2" xfId="1" applyNumberFormat="1" applyFont="1" applyFill="1" applyBorder="1" applyAlignment="1" applyProtection="1">
      <alignment horizontal="center" vertical="center" wrapText="1"/>
    </xf>
    <xf numFmtId="0" fontId="27" fillId="2" borderId="11" xfId="1" applyFont="1" applyFill="1" applyBorder="1" applyAlignment="1" applyProtection="1">
      <alignment horizontal="center" vertical="center" wrapText="1"/>
    </xf>
    <xf numFmtId="0" fontId="27" fillId="2" borderId="1" xfId="1" applyFont="1" applyFill="1" applyBorder="1" applyAlignment="1" applyProtection="1">
      <alignment horizontal="center" vertical="center" wrapText="1"/>
    </xf>
    <xf numFmtId="0" fontId="27" fillId="2" borderId="1" xfId="1" applyFont="1" applyFill="1" applyBorder="1" applyAlignment="1" applyProtection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27" fillId="2" borderId="1" xfId="1" applyNumberFormat="1" applyFont="1" applyFill="1" applyBorder="1" applyAlignment="1" applyProtection="1">
      <alignment horizontal="center" vertical="center" wrapText="1"/>
    </xf>
    <xf numFmtId="10" fontId="27" fillId="2" borderId="1" xfId="6" applyNumberFormat="1" applyFont="1" applyFill="1" applyBorder="1" applyAlignment="1" applyProtection="1">
      <alignment horizontal="center" vertical="center" wrapText="1"/>
    </xf>
    <xf numFmtId="0" fontId="27" fillId="2" borderId="3" xfId="1" applyFont="1" applyFill="1" applyBorder="1" applyAlignment="1" applyProtection="1">
      <alignment horizontal="center" vertical="center" wrapText="1"/>
    </xf>
    <xf numFmtId="0" fontId="27" fillId="2" borderId="3" xfId="1" applyNumberFormat="1" applyFont="1" applyFill="1" applyBorder="1" applyAlignment="1" applyProtection="1">
      <alignment horizontal="center" vertical="center" wrapText="1"/>
    </xf>
    <xf numFmtId="0" fontId="33" fillId="2" borderId="0" xfId="1" applyFont="1" applyFill="1" applyAlignment="1">
      <alignment horizontal="center" vertical="center" wrapText="1"/>
    </xf>
    <xf numFmtId="9" fontId="27" fillId="2" borderId="1" xfId="1" applyNumberFormat="1" applyFont="1" applyFill="1" applyBorder="1" applyAlignment="1" applyProtection="1">
      <alignment horizontal="center" vertical="center" wrapText="1"/>
    </xf>
    <xf numFmtId="165" fontId="27" fillId="2" borderId="2" xfId="4" applyNumberFormat="1" applyFont="1" applyFill="1" applyBorder="1" applyAlignment="1" applyProtection="1">
      <alignment vertical="center"/>
    </xf>
    <xf numFmtId="1" fontId="27" fillId="2" borderId="1" xfId="1" applyNumberFormat="1" applyFont="1" applyFill="1" applyBorder="1" applyAlignment="1" applyProtection="1">
      <alignment horizontal="center" vertical="center" wrapText="1"/>
    </xf>
    <xf numFmtId="0" fontId="27" fillId="2" borderId="14" xfId="1" applyFont="1" applyFill="1" applyBorder="1" applyAlignment="1" applyProtection="1">
      <alignment horizontal="center" vertical="center" wrapText="1"/>
    </xf>
    <xf numFmtId="2" fontId="27" fillId="2" borderId="14" xfId="1" applyNumberFormat="1" applyFont="1" applyFill="1" applyBorder="1" applyAlignment="1" applyProtection="1">
      <alignment horizontal="center" vertical="center" wrapText="1"/>
    </xf>
    <xf numFmtId="0" fontId="27" fillId="2" borderId="21" xfId="1" applyFont="1" applyFill="1" applyBorder="1" applyAlignment="1" applyProtection="1">
      <alignment horizontal="center" vertical="center" wrapText="1"/>
    </xf>
    <xf numFmtId="165" fontId="27" fillId="2" borderId="2" xfId="4" applyNumberFormat="1" applyFont="1" applyFill="1" applyBorder="1" applyAlignment="1" applyProtection="1">
      <alignment vertical="center" wrapText="1"/>
    </xf>
    <xf numFmtId="165" fontId="27" fillId="2" borderId="3" xfId="4" applyNumberFormat="1" applyFont="1" applyFill="1" applyBorder="1" applyAlignment="1" applyProtection="1">
      <alignment vertical="center" wrapText="1"/>
    </xf>
    <xf numFmtId="1" fontId="27" fillId="2" borderId="2" xfId="1" applyNumberFormat="1" applyFont="1" applyFill="1" applyBorder="1" applyAlignment="1" applyProtection="1">
      <alignment horizontal="center" vertical="center" wrapText="1"/>
    </xf>
    <xf numFmtId="166" fontId="27" fillId="2" borderId="2" xfId="6" applyNumberFormat="1" applyFont="1" applyFill="1" applyBorder="1" applyAlignment="1" applyProtection="1">
      <alignment horizontal="center" vertical="center" wrapText="1"/>
    </xf>
    <xf numFmtId="1" fontId="27" fillId="2" borderId="1" xfId="1" applyNumberFormat="1" applyFont="1" applyFill="1" applyBorder="1" applyAlignment="1" applyProtection="1">
      <alignment horizontal="center" vertical="center" wrapText="1"/>
    </xf>
    <xf numFmtId="1" fontId="27" fillId="2" borderId="3" xfId="1" applyNumberFormat="1" applyFont="1" applyFill="1" applyBorder="1" applyAlignment="1" applyProtection="1">
      <alignment horizontal="center" vertical="center" wrapText="1"/>
    </xf>
    <xf numFmtId="43" fontId="27" fillId="2" borderId="2" xfId="4" applyFont="1" applyFill="1" applyBorder="1" applyAlignment="1" applyProtection="1">
      <alignment horizontal="center" vertical="center" wrapText="1"/>
    </xf>
    <xf numFmtId="165" fontId="27" fillId="2" borderId="2" xfId="7" applyNumberFormat="1" applyFont="1" applyFill="1" applyBorder="1" applyAlignment="1" applyProtection="1">
      <alignment horizontal="center" vertical="center" wrapText="1"/>
    </xf>
    <xf numFmtId="10" fontId="27" fillId="2" borderId="2" xfId="1" applyNumberFormat="1" applyFont="1" applyFill="1" applyBorder="1" applyAlignment="1" applyProtection="1">
      <alignment horizontal="center" vertical="center" wrapText="1"/>
    </xf>
    <xf numFmtId="165" fontId="27" fillId="2" borderId="2" xfId="4" applyNumberFormat="1" applyFont="1" applyFill="1" applyBorder="1" applyAlignment="1" applyProtection="1">
      <alignment horizontal="center" vertical="center"/>
    </xf>
    <xf numFmtId="0" fontId="27" fillId="2" borderId="1" xfId="4" applyNumberFormat="1" applyFont="1" applyFill="1" applyBorder="1" applyAlignment="1" applyProtection="1">
      <alignment horizontal="center" vertical="center" wrapText="1"/>
    </xf>
    <xf numFmtId="171" fontId="27" fillId="2" borderId="2" xfId="6" applyNumberFormat="1" applyFont="1" applyFill="1" applyBorder="1" applyAlignment="1" applyProtection="1">
      <alignment horizontal="center" vertical="center" wrapText="1"/>
    </xf>
    <xf numFmtId="0" fontId="27" fillId="2" borderId="3" xfId="4" applyNumberFormat="1" applyFont="1" applyFill="1" applyBorder="1" applyAlignment="1" applyProtection="1">
      <alignment horizontal="center" vertical="center" wrapText="1"/>
    </xf>
    <xf numFmtId="0" fontId="27" fillId="2" borderId="2" xfId="4" applyNumberFormat="1" applyFont="1" applyFill="1" applyBorder="1" applyAlignment="1" applyProtection="1">
      <alignment horizontal="center" vertical="center" wrapText="1"/>
    </xf>
    <xf numFmtId="165" fontId="27" fillId="2" borderId="2" xfId="3" applyNumberFormat="1" applyFont="1" applyFill="1" applyBorder="1" applyAlignment="1" applyProtection="1">
      <alignment horizontal="center" vertical="center" wrapText="1"/>
    </xf>
    <xf numFmtId="0" fontId="27" fillId="2" borderId="11" xfId="1" applyFont="1" applyFill="1" applyBorder="1" applyAlignment="1" applyProtection="1">
      <alignment horizontal="center" vertical="center" wrapText="1"/>
    </xf>
    <xf numFmtId="171" fontId="27" fillId="2" borderId="1" xfId="6" applyNumberFormat="1" applyFont="1" applyFill="1" applyBorder="1" applyAlignment="1" applyProtection="1">
      <alignment horizontal="center" vertical="center" wrapText="1"/>
    </xf>
    <xf numFmtId="165" fontId="27" fillId="2" borderId="1" xfId="4" applyNumberFormat="1" applyFont="1" applyFill="1" applyBorder="1" applyAlignment="1" applyProtection="1">
      <alignment horizontal="center" vertical="center" wrapText="1"/>
    </xf>
    <xf numFmtId="166" fontId="27" fillId="2" borderId="1" xfId="6" applyNumberFormat="1" applyFont="1" applyFill="1" applyBorder="1" applyAlignment="1" applyProtection="1">
      <alignment horizontal="center" vertical="center" wrapText="1"/>
    </xf>
    <xf numFmtId="165" fontId="27" fillId="2" borderId="3" xfId="4" applyNumberFormat="1" applyFont="1" applyFill="1" applyBorder="1" applyAlignment="1" applyProtection="1">
      <alignment horizontal="center" vertical="center" wrapText="1"/>
    </xf>
    <xf numFmtId="0" fontId="27" fillId="2" borderId="3" xfId="1" applyNumberFormat="1" applyFont="1" applyFill="1" applyBorder="1" applyAlignment="1" applyProtection="1">
      <alignment horizontal="center" vertical="center" wrapText="1"/>
    </xf>
    <xf numFmtId="165" fontId="27" fillId="2" borderId="14" xfId="1" applyNumberFormat="1" applyFont="1" applyFill="1" applyBorder="1" applyAlignment="1" applyProtection="1">
      <alignment horizontal="center" vertical="center" wrapText="1"/>
    </xf>
    <xf numFmtId="0" fontId="27" fillId="2" borderId="14" xfId="1" applyFont="1" applyFill="1" applyBorder="1" applyAlignment="1" applyProtection="1">
      <alignment horizontal="center" vertical="center" wrapText="1"/>
    </xf>
    <xf numFmtId="2" fontId="27" fillId="2" borderId="22" xfId="1" applyNumberFormat="1" applyFont="1" applyFill="1" applyBorder="1" applyAlignment="1" applyProtection="1">
      <alignment horizontal="center" vertical="center" wrapText="1"/>
    </xf>
    <xf numFmtId="165" fontId="27" fillId="2" borderId="14" xfId="4" applyNumberFormat="1" applyFont="1" applyFill="1" applyBorder="1" applyAlignment="1" applyProtection="1">
      <alignment horizontal="center" vertical="center" wrapText="1"/>
    </xf>
    <xf numFmtId="0" fontId="27" fillId="2" borderId="14" xfId="1" applyFont="1" applyFill="1" applyBorder="1" applyAlignment="1" applyProtection="1">
      <alignment horizontal="center" vertical="center"/>
    </xf>
    <xf numFmtId="165" fontId="27" fillId="2" borderId="14" xfId="4" applyNumberFormat="1" applyFont="1" applyFill="1" applyBorder="1" applyAlignment="1" applyProtection="1">
      <alignment vertical="center" wrapText="1"/>
    </xf>
    <xf numFmtId="10" fontId="27" fillId="2" borderId="10" xfId="6" applyNumberFormat="1" applyFont="1" applyFill="1" applyBorder="1" applyAlignment="1" applyProtection="1">
      <alignment horizontal="center" vertical="center" wrapText="1"/>
    </xf>
    <xf numFmtId="165" fontId="27" fillId="2" borderId="1" xfId="1" applyNumberFormat="1" applyFont="1" applyFill="1" applyBorder="1" applyAlignment="1" applyProtection="1">
      <alignment horizontal="center" vertical="center" wrapText="1"/>
    </xf>
    <xf numFmtId="0" fontId="27" fillId="2" borderId="29" xfId="1" applyFont="1" applyFill="1" applyBorder="1" applyAlignment="1" applyProtection="1">
      <alignment horizontal="center" vertical="center" wrapText="1"/>
    </xf>
    <xf numFmtId="1" fontId="34" fillId="2" borderId="40" xfId="1" applyNumberFormat="1" applyFont="1" applyFill="1" applyBorder="1" applyAlignment="1" applyProtection="1">
      <alignment horizontal="center" vertical="center" wrapText="1"/>
    </xf>
    <xf numFmtId="1" fontId="34" fillId="2" borderId="41" xfId="1" applyNumberFormat="1" applyFont="1" applyFill="1" applyBorder="1" applyAlignment="1" applyProtection="1">
      <alignment horizontal="center" vertical="center" wrapText="1"/>
    </xf>
    <xf numFmtId="1" fontId="34" fillId="2" borderId="42" xfId="1" applyNumberFormat="1" applyFont="1" applyFill="1" applyBorder="1" applyAlignment="1" applyProtection="1">
      <alignment horizontal="center" vertical="center" wrapText="1"/>
    </xf>
    <xf numFmtId="2" fontId="29" fillId="2" borderId="16" xfId="1" applyNumberFormat="1" applyFont="1" applyFill="1" applyBorder="1" applyAlignment="1" applyProtection="1">
      <alignment vertical="center"/>
    </xf>
    <xf numFmtId="165" fontId="29" fillId="2" borderId="33" xfId="4" applyNumberFormat="1" applyFont="1" applyFill="1" applyBorder="1" applyAlignment="1" applyProtection="1">
      <alignment vertical="center"/>
    </xf>
    <xf numFmtId="165" fontId="29" fillId="2" borderId="39" xfId="4" applyNumberFormat="1" applyFont="1" applyFill="1" applyBorder="1" applyAlignment="1" applyProtection="1">
      <alignment vertical="center"/>
    </xf>
    <xf numFmtId="1" fontId="34" fillId="2" borderId="43" xfId="1" applyNumberFormat="1" applyFont="1" applyFill="1" applyBorder="1" applyAlignment="1" applyProtection="1">
      <alignment horizontal="center" vertical="center" wrapText="1"/>
    </xf>
    <xf numFmtId="1" fontId="34" fillId="2" borderId="0" xfId="1" applyNumberFormat="1" applyFont="1" applyFill="1" applyBorder="1" applyAlignment="1" applyProtection="1">
      <alignment horizontal="center" vertical="center" wrapText="1"/>
    </xf>
    <xf numFmtId="1" fontId="34" fillId="2" borderId="36" xfId="1" applyNumberFormat="1" applyFont="1" applyFill="1" applyBorder="1" applyAlignment="1" applyProtection="1">
      <alignment horizontal="center" vertical="center" wrapText="1"/>
    </xf>
    <xf numFmtId="2" fontId="29" fillId="2" borderId="2" xfId="1" applyNumberFormat="1" applyFont="1" applyFill="1" applyBorder="1" applyAlignment="1" applyProtection="1">
      <alignment vertical="center"/>
    </xf>
    <xf numFmtId="165" fontId="29" fillId="2" borderId="15" xfId="4" applyNumberFormat="1" applyFont="1" applyFill="1" applyBorder="1" applyAlignment="1" applyProtection="1">
      <alignment vertical="center"/>
    </xf>
    <xf numFmtId="165" fontId="29" fillId="2" borderId="26" xfId="4" applyNumberFormat="1" applyFont="1" applyFill="1" applyBorder="1" applyAlignment="1" applyProtection="1">
      <alignment vertical="center"/>
    </xf>
    <xf numFmtId="2" fontId="29" fillId="2" borderId="1" xfId="1" applyNumberFormat="1" applyFont="1" applyFill="1" applyBorder="1" applyAlignment="1" applyProtection="1">
      <alignment vertical="center"/>
    </xf>
    <xf numFmtId="165" fontId="29" fillId="2" borderId="14" xfId="4" applyNumberFormat="1" applyFont="1" applyFill="1" applyBorder="1" applyAlignment="1" applyProtection="1">
      <alignment vertical="center"/>
    </xf>
    <xf numFmtId="165" fontId="29" fillId="2" borderId="34" xfId="4" applyNumberFormat="1" applyFont="1" applyFill="1" applyBorder="1" applyAlignment="1" applyProtection="1">
      <alignment vertical="center"/>
    </xf>
    <xf numFmtId="165" fontId="29" fillId="2" borderId="27" xfId="4" applyNumberFormat="1" applyFont="1" applyFill="1" applyBorder="1" applyAlignment="1" applyProtection="1">
      <alignment vertical="center"/>
    </xf>
    <xf numFmtId="1" fontId="34" fillId="2" borderId="44" xfId="1" applyNumberFormat="1" applyFont="1" applyFill="1" applyBorder="1" applyAlignment="1" applyProtection="1">
      <alignment horizontal="center" vertical="center" wrapText="1"/>
    </xf>
    <xf numFmtId="1" fontId="34" fillId="2" borderId="32" xfId="1" applyNumberFormat="1" applyFont="1" applyFill="1" applyBorder="1" applyAlignment="1" applyProtection="1">
      <alignment horizontal="center" vertical="center" wrapText="1"/>
    </xf>
    <xf numFmtId="1" fontId="34" fillId="2" borderId="37" xfId="1" applyNumberFormat="1" applyFont="1" applyFill="1" applyBorder="1" applyAlignment="1" applyProtection="1">
      <alignment horizontal="center" vertical="center" wrapText="1"/>
    </xf>
    <xf numFmtId="2" fontId="29" fillId="2" borderId="10" xfId="1" applyNumberFormat="1" applyFont="1" applyFill="1" applyBorder="1" applyAlignment="1" applyProtection="1">
      <alignment vertical="center"/>
    </xf>
    <xf numFmtId="2" fontId="29" fillId="2" borderId="25" xfId="1" applyNumberFormat="1" applyFont="1" applyFill="1" applyBorder="1" applyAlignment="1" applyProtection="1">
      <alignment vertical="center"/>
    </xf>
    <xf numFmtId="2" fontId="29" fillId="2" borderId="12" xfId="1" applyNumberFormat="1" applyFont="1" applyFill="1" applyBorder="1" applyAlignment="1" applyProtection="1">
      <alignment vertical="center"/>
    </xf>
    <xf numFmtId="2" fontId="29" fillId="2" borderId="31" xfId="1" applyNumberFormat="1" applyFont="1" applyFill="1" applyBorder="1" applyAlignment="1" applyProtection="1">
      <alignment vertical="center"/>
    </xf>
    <xf numFmtId="165" fontId="29" fillId="2" borderId="31" xfId="4" applyNumberFormat="1" applyFont="1" applyFill="1" applyBorder="1" applyAlignment="1" applyProtection="1">
      <alignment vertical="center"/>
    </xf>
    <xf numFmtId="165" fontId="29" fillId="2" borderId="29" xfId="4" applyNumberFormat="1" applyFont="1" applyFill="1" applyBorder="1" applyAlignment="1" applyProtection="1">
      <alignment vertical="center"/>
    </xf>
    <xf numFmtId="0" fontId="27" fillId="2" borderId="9" xfId="1" applyFont="1" applyFill="1" applyBorder="1" applyAlignment="1" applyProtection="1">
      <alignment horizontal="center" vertical="center" wrapText="1"/>
    </xf>
    <xf numFmtId="1" fontId="27" fillId="2" borderId="3" xfId="1" applyNumberFormat="1" applyFont="1" applyFill="1" applyBorder="1" applyAlignment="1" applyProtection="1">
      <alignment horizontal="center" vertical="center" wrapText="1"/>
    </xf>
    <xf numFmtId="10" fontId="27" fillId="2" borderId="3" xfId="6" applyNumberFormat="1" applyFont="1" applyFill="1" applyBorder="1" applyAlignment="1" applyProtection="1">
      <alignment horizontal="center" vertical="center" wrapText="1"/>
    </xf>
    <xf numFmtId="2" fontId="27" fillId="2" borderId="1" xfId="1" applyNumberFormat="1" applyFont="1" applyFill="1" applyBorder="1" applyAlignment="1" applyProtection="1">
      <alignment horizontal="center" vertical="center" wrapText="1"/>
    </xf>
    <xf numFmtId="0" fontId="27" fillId="2" borderId="1" xfId="1" applyFont="1" applyFill="1" applyBorder="1" applyAlignment="1" applyProtection="1">
      <alignment horizontal="center" vertical="center"/>
    </xf>
    <xf numFmtId="0" fontId="27" fillId="2" borderId="1" xfId="1" applyNumberFormat="1" applyFont="1" applyFill="1" applyBorder="1" applyAlignment="1" applyProtection="1">
      <alignment horizontal="center" vertical="center" wrapText="1"/>
    </xf>
    <xf numFmtId="165" fontId="27" fillId="2" borderId="1" xfId="4" applyNumberFormat="1" applyFont="1" applyFill="1" applyBorder="1" applyAlignment="1" applyProtection="1">
      <alignment horizontal="center" vertical="center" wrapText="1"/>
    </xf>
    <xf numFmtId="167" fontId="27" fillId="2" borderId="1" xfId="6" applyNumberFormat="1" applyFont="1" applyFill="1" applyBorder="1" applyAlignment="1" applyProtection="1">
      <alignment horizontal="center" vertical="center" wrapText="1"/>
    </xf>
    <xf numFmtId="0" fontId="27" fillId="2" borderId="20" xfId="1" applyFont="1" applyFill="1" applyBorder="1" applyAlignment="1" applyProtection="1">
      <alignment horizontal="center" vertical="center" wrapText="1"/>
    </xf>
    <xf numFmtId="0" fontId="27" fillId="2" borderId="22" xfId="1" applyFont="1" applyFill="1" applyBorder="1" applyAlignment="1" applyProtection="1">
      <alignment horizontal="center" vertical="center" wrapText="1"/>
    </xf>
    <xf numFmtId="0" fontId="27" fillId="2" borderId="46" xfId="1" applyFont="1" applyFill="1" applyBorder="1" applyAlignment="1" applyProtection="1">
      <alignment horizontal="center" vertical="center" wrapText="1"/>
    </xf>
    <xf numFmtId="0" fontId="27" fillId="2" borderId="16" xfId="1" applyFont="1" applyFill="1" applyBorder="1" applyProtection="1"/>
    <xf numFmtId="0" fontId="27" fillId="2" borderId="2" xfId="1" applyFont="1" applyFill="1" applyBorder="1" applyProtection="1"/>
    <xf numFmtId="0" fontId="27" fillId="2" borderId="10" xfId="1" applyFont="1" applyFill="1" applyBorder="1" applyProtection="1"/>
    <xf numFmtId="1" fontId="27" fillId="2" borderId="15" xfId="1" applyNumberFormat="1" applyFont="1" applyFill="1" applyBorder="1" applyAlignment="1" applyProtection="1">
      <alignment horizontal="center" vertical="center" wrapText="1"/>
    </xf>
    <xf numFmtId="1" fontId="27" fillId="2" borderId="26" xfId="1" applyNumberFormat="1" applyFont="1" applyFill="1" applyBorder="1" applyAlignment="1" applyProtection="1">
      <alignment horizontal="center" vertical="center" wrapText="1"/>
    </xf>
    <xf numFmtId="165" fontId="27" fillId="2" borderId="2" xfId="2" applyNumberFormat="1" applyFont="1" applyFill="1" applyBorder="1" applyAlignment="1" applyProtection="1">
      <alignment horizontal="left" vertical="center" wrapText="1"/>
    </xf>
    <xf numFmtId="9" fontId="27" fillId="2" borderId="2" xfId="8" applyFont="1" applyFill="1" applyBorder="1" applyAlignment="1" applyProtection="1">
      <alignment horizontal="center" vertical="center" wrapText="1"/>
    </xf>
    <xf numFmtId="0" fontId="27" fillId="2" borderId="8" xfId="1" applyFont="1" applyFill="1" applyBorder="1" applyAlignment="1" applyProtection="1">
      <alignment horizontal="center" vertical="center" wrapText="1"/>
    </xf>
    <xf numFmtId="1" fontId="27" fillId="2" borderId="10" xfId="1" applyNumberFormat="1" applyFont="1" applyFill="1" applyBorder="1" applyAlignment="1" applyProtection="1">
      <alignment horizontal="center" vertical="center" wrapText="1"/>
    </xf>
    <xf numFmtId="0" fontId="27" fillId="2" borderId="10" xfId="1" applyFont="1" applyFill="1" applyBorder="1" applyAlignment="1" applyProtection="1">
      <alignment horizontal="center" vertical="center" wrapText="1"/>
    </xf>
    <xf numFmtId="2" fontId="27" fillId="2" borderId="10" xfId="1" applyNumberFormat="1" applyFont="1" applyFill="1" applyBorder="1" applyAlignment="1" applyProtection="1">
      <alignment horizontal="center" vertical="center" wrapText="1"/>
    </xf>
    <xf numFmtId="165" fontId="27" fillId="2" borderId="10" xfId="2" applyNumberFormat="1" applyFont="1" applyFill="1" applyBorder="1" applyAlignment="1" applyProtection="1">
      <alignment horizontal="left" vertical="center" wrapText="1"/>
    </xf>
    <xf numFmtId="9" fontId="27" fillId="2" borderId="10" xfId="8" applyFont="1" applyFill="1" applyBorder="1" applyAlignment="1" applyProtection="1">
      <alignment horizontal="center" vertical="center" wrapText="1"/>
    </xf>
    <xf numFmtId="165" fontId="27" fillId="2" borderId="10" xfId="4" applyNumberFormat="1" applyFont="1" applyFill="1" applyBorder="1" applyAlignment="1" applyProtection="1">
      <alignment horizontal="center" vertical="center" wrapText="1"/>
    </xf>
    <xf numFmtId="165" fontId="27" fillId="2" borderId="10" xfId="1" applyNumberFormat="1" applyFont="1" applyFill="1" applyBorder="1" applyAlignment="1" applyProtection="1">
      <alignment horizontal="center" vertical="center" wrapText="1"/>
    </xf>
    <xf numFmtId="1" fontId="27" fillId="2" borderId="31" xfId="1" applyNumberFormat="1" applyFont="1" applyFill="1" applyBorder="1" applyAlignment="1" applyProtection="1">
      <alignment horizontal="center" vertical="center" wrapText="1"/>
    </xf>
    <xf numFmtId="1" fontId="27" fillId="2" borderId="29" xfId="1" applyNumberFormat="1" applyFont="1" applyFill="1" applyBorder="1" applyAlignment="1" applyProtection="1">
      <alignment horizontal="center" vertical="center" wrapText="1"/>
    </xf>
    <xf numFmtId="0" fontId="27" fillId="2" borderId="3" xfId="1" applyFont="1" applyFill="1" applyBorder="1" applyProtection="1"/>
    <xf numFmtId="2" fontId="29" fillId="2" borderId="3" xfId="1" applyNumberFormat="1" applyFont="1" applyFill="1" applyBorder="1" applyAlignment="1" applyProtection="1">
      <alignment vertical="center"/>
    </xf>
    <xf numFmtId="165" fontId="29" fillId="2" borderId="23" xfId="4" applyNumberFormat="1" applyFont="1" applyFill="1" applyBorder="1" applyAlignment="1" applyProtection="1">
      <alignment vertical="center"/>
    </xf>
    <xf numFmtId="1" fontId="27" fillId="2" borderId="14" xfId="1" applyNumberFormat="1" applyFont="1" applyFill="1" applyBorder="1" applyAlignment="1" applyProtection="1">
      <alignment horizontal="center" vertical="center" wrapText="1"/>
    </xf>
    <xf numFmtId="166" fontId="27" fillId="2" borderId="2" xfId="8" applyNumberFormat="1" applyFont="1" applyFill="1" applyBorder="1" applyAlignment="1" applyProtection="1">
      <alignment horizontal="center" vertical="center" wrapText="1"/>
    </xf>
    <xf numFmtId="10" fontId="27" fillId="2" borderId="1" xfId="8" applyNumberFormat="1" applyFont="1" applyFill="1" applyBorder="1" applyAlignment="1" applyProtection="1">
      <alignment horizontal="center" vertical="center" wrapText="1"/>
    </xf>
    <xf numFmtId="0" fontId="27" fillId="2" borderId="45" xfId="1" applyFont="1" applyFill="1" applyBorder="1" applyAlignment="1" applyProtection="1">
      <alignment horizontal="center" vertical="center" wrapText="1"/>
    </xf>
    <xf numFmtId="168" fontId="27" fillId="2" borderId="2" xfId="4" applyNumberFormat="1" applyFont="1" applyFill="1" applyBorder="1" applyAlignment="1" applyProtection="1">
      <alignment horizontal="center" vertical="center" wrapText="1"/>
    </xf>
    <xf numFmtId="165" fontId="27" fillId="2" borderId="1" xfId="2" applyNumberFormat="1" applyFont="1" applyFill="1" applyBorder="1" applyAlignment="1" applyProtection="1">
      <alignment horizontal="left" vertical="center" wrapText="1"/>
    </xf>
    <xf numFmtId="165" fontId="27" fillId="2" borderId="3" xfId="3" applyNumberFormat="1" applyFont="1" applyFill="1" applyBorder="1" applyAlignment="1" applyProtection="1">
      <alignment horizontal="center" vertical="center" wrapText="1"/>
    </xf>
    <xf numFmtId="0" fontId="27" fillId="2" borderId="3" xfId="1" quotePrefix="1" applyNumberFormat="1" applyFont="1" applyFill="1" applyBorder="1" applyAlignment="1" applyProtection="1">
      <alignment horizontal="center" vertical="center" wrapText="1"/>
    </xf>
    <xf numFmtId="165" fontId="27" fillId="2" borderId="3" xfId="1" applyNumberFormat="1" applyFont="1" applyFill="1" applyBorder="1" applyAlignment="1" applyProtection="1">
      <alignment horizontal="center" vertical="center" wrapText="1"/>
    </xf>
    <xf numFmtId="2" fontId="27" fillId="2" borderId="14" xfId="1" applyNumberFormat="1" applyFont="1" applyFill="1" applyBorder="1" applyAlignment="1" applyProtection="1">
      <alignment horizontal="center" vertical="center" wrapText="1"/>
    </xf>
    <xf numFmtId="1" fontId="27" fillId="2" borderId="34" xfId="1" applyNumberFormat="1" applyFont="1" applyFill="1" applyBorder="1" applyAlignment="1" applyProtection="1">
      <alignment horizontal="center" vertical="center" wrapText="1"/>
    </xf>
    <xf numFmtId="1" fontId="27" fillId="2" borderId="45" xfId="1" applyNumberFormat="1" applyFont="1" applyFill="1" applyBorder="1" applyAlignment="1" applyProtection="1">
      <alignment horizontal="center" vertical="center" wrapText="1"/>
    </xf>
    <xf numFmtId="1" fontId="27" fillId="2" borderId="27" xfId="1" applyNumberFormat="1" applyFont="1" applyFill="1" applyBorder="1" applyAlignment="1" applyProtection="1">
      <alignment horizontal="center" vertical="center" wrapText="1"/>
    </xf>
    <xf numFmtId="166" fontId="27" fillId="2" borderId="14" xfId="6" applyNumberFormat="1" applyFont="1" applyFill="1" applyBorder="1" applyAlignment="1" applyProtection="1">
      <alignment horizontal="center" vertical="center" wrapText="1"/>
    </xf>
    <xf numFmtId="0" fontId="27" fillId="2" borderId="2" xfId="1" applyFont="1" applyFill="1" applyBorder="1" applyAlignment="1" applyProtection="1">
      <alignment vertical="center" wrapText="1"/>
    </xf>
    <xf numFmtId="2" fontId="27" fillId="2" borderId="23" xfId="1" applyNumberFormat="1" applyFont="1" applyFill="1" applyBorder="1" applyAlignment="1" applyProtection="1">
      <alignment horizontal="center" vertical="center" wrapText="1"/>
    </xf>
    <xf numFmtId="1" fontId="27" fillId="2" borderId="35" xfId="1" applyNumberFormat="1" applyFont="1" applyFill="1" applyBorder="1" applyAlignment="1" applyProtection="1">
      <alignment horizontal="center" vertical="center" wrapText="1"/>
    </xf>
    <xf numFmtId="165" fontId="27" fillId="2" borderId="10" xfId="3" applyNumberFormat="1" applyFont="1" applyFill="1" applyBorder="1" applyAlignment="1" applyProtection="1">
      <alignment horizontal="center" vertical="center" wrapText="1"/>
    </xf>
    <xf numFmtId="166" fontId="27" fillId="2" borderId="10" xfId="6" applyNumberFormat="1" applyFont="1" applyFill="1" applyBorder="1" applyAlignment="1" applyProtection="1">
      <alignment horizontal="center" vertical="center" wrapText="1"/>
    </xf>
    <xf numFmtId="2" fontId="29" fillId="2" borderId="23" xfId="1" applyNumberFormat="1" applyFont="1" applyFill="1" applyBorder="1" applyAlignment="1" applyProtection="1">
      <alignment vertical="center"/>
    </xf>
    <xf numFmtId="2" fontId="29" fillId="2" borderId="15" xfId="1" applyNumberFormat="1" applyFont="1" applyFill="1" applyBorder="1" applyAlignment="1" applyProtection="1">
      <alignment vertical="center"/>
    </xf>
    <xf numFmtId="1" fontId="27" fillId="2" borderId="14" xfId="1" applyNumberFormat="1" applyFont="1" applyFill="1" applyBorder="1" applyAlignment="1" applyProtection="1">
      <alignment horizontal="center" vertical="center" wrapText="1"/>
    </xf>
    <xf numFmtId="165" fontId="27" fillId="2" borderId="14" xfId="2" applyNumberFormat="1" applyFont="1" applyFill="1" applyBorder="1" applyAlignment="1" applyProtection="1">
      <alignment horizontal="left" vertical="center" wrapText="1"/>
    </xf>
    <xf numFmtId="10" fontId="27" fillId="2" borderId="14" xfId="6" applyNumberFormat="1" applyFont="1" applyFill="1" applyBorder="1" applyAlignment="1" applyProtection="1">
      <alignment horizontal="center" vertical="center" wrapText="1"/>
    </xf>
    <xf numFmtId="1" fontId="27" fillId="2" borderId="28" xfId="1" applyNumberFormat="1" applyFont="1" applyFill="1" applyBorder="1" applyAlignment="1" applyProtection="1">
      <alignment horizontal="center" vertical="center" wrapText="1"/>
    </xf>
    <xf numFmtId="2" fontId="29" fillId="2" borderId="4" xfId="1" applyNumberFormat="1" applyFont="1" applyFill="1" applyBorder="1" applyAlignment="1" applyProtection="1">
      <alignment vertical="center"/>
    </xf>
    <xf numFmtId="2" fontId="29" fillId="2" borderId="24" xfId="1" applyNumberFormat="1" applyFont="1" applyFill="1" applyBorder="1" applyAlignment="1" applyProtection="1">
      <alignment vertical="center"/>
    </xf>
    <xf numFmtId="0" fontId="27" fillId="2" borderId="5" xfId="1" applyFont="1" applyFill="1" applyBorder="1" applyAlignment="1" applyProtection="1">
      <alignment horizontal="center" vertical="center" wrapText="1"/>
    </xf>
    <xf numFmtId="1" fontId="27" fillId="2" borderId="18" xfId="1" applyNumberFormat="1" applyFont="1" applyFill="1" applyBorder="1" applyAlignment="1" applyProtection="1">
      <alignment horizontal="center" vertical="center" wrapText="1"/>
    </xf>
    <xf numFmtId="0" fontId="27" fillId="2" borderId="19" xfId="1" applyFont="1" applyFill="1" applyBorder="1" applyAlignment="1" applyProtection="1">
      <alignment horizontal="center" vertical="center" wrapText="1"/>
    </xf>
    <xf numFmtId="0" fontId="27" fillId="2" borderId="22" xfId="1" applyFont="1" applyFill="1" applyBorder="1" applyAlignment="1" applyProtection="1">
      <alignment horizontal="center" vertical="center" wrapText="1"/>
    </xf>
    <xf numFmtId="165" fontId="27" fillId="2" borderId="19" xfId="4" applyNumberFormat="1" applyFont="1" applyFill="1" applyBorder="1" applyAlignment="1" applyProtection="1">
      <alignment horizontal="center" vertical="center" wrapText="1"/>
    </xf>
    <xf numFmtId="165" fontId="27" fillId="2" borderId="19" xfId="3" applyNumberFormat="1" applyFont="1" applyFill="1" applyBorder="1" applyAlignment="1" applyProtection="1">
      <alignment horizontal="center" vertical="center" wrapText="1"/>
    </xf>
    <xf numFmtId="10" fontId="27" fillId="2" borderId="19" xfId="8" applyNumberFormat="1" applyFont="1" applyFill="1" applyBorder="1" applyAlignment="1" applyProtection="1">
      <alignment horizontal="center" vertical="center" wrapText="1"/>
    </xf>
    <xf numFmtId="165" fontId="27" fillId="2" borderId="6" xfId="2" applyNumberFormat="1" applyFont="1" applyFill="1" applyBorder="1" applyAlignment="1" applyProtection="1">
      <alignment horizontal="left" vertical="center" wrapText="1"/>
    </xf>
    <xf numFmtId="0" fontId="27" fillId="2" borderId="38" xfId="1" applyFont="1" applyFill="1" applyBorder="1" applyAlignment="1" applyProtection="1">
      <alignment horizontal="center" vertical="center" wrapText="1"/>
    </xf>
    <xf numFmtId="0" fontId="27" fillId="2" borderId="17" xfId="1" applyFont="1" applyFill="1" applyBorder="1" applyAlignment="1" applyProtection="1">
      <alignment horizontal="center" vertical="center" wrapText="1"/>
    </xf>
    <xf numFmtId="1" fontId="25" fillId="2" borderId="0" xfId="1" applyNumberFormat="1" applyFont="1" applyFill="1" applyAlignment="1" applyProtection="1">
      <alignment horizontal="center"/>
    </xf>
    <xf numFmtId="0" fontId="25" fillId="2" borderId="0" xfId="1" applyFont="1" applyFill="1" applyProtection="1"/>
    <xf numFmtId="0" fontId="27" fillId="2" borderId="0" xfId="1" applyNumberFormat="1" applyFont="1" applyFill="1" applyProtection="1"/>
    <xf numFmtId="2" fontId="29" fillId="2" borderId="0" xfId="1" applyNumberFormat="1" applyFont="1" applyFill="1" applyBorder="1" applyAlignment="1" applyProtection="1">
      <alignment vertical="center"/>
    </xf>
    <xf numFmtId="10" fontId="27" fillId="2" borderId="0" xfId="6" applyNumberFormat="1" applyFont="1" applyFill="1" applyProtection="1"/>
    <xf numFmtId="165" fontId="27" fillId="2" borderId="0" xfId="1" applyNumberFormat="1" applyFont="1" applyFill="1" applyProtection="1"/>
    <xf numFmtId="165" fontId="27" fillId="2" borderId="0" xfId="6" applyNumberFormat="1" applyFont="1" applyFill="1" applyProtection="1"/>
    <xf numFmtId="43" fontId="27" fillId="2" borderId="0" xfId="4" applyNumberFormat="1" applyFont="1" applyFill="1" applyProtection="1"/>
    <xf numFmtId="165" fontId="27" fillId="2" borderId="0" xfId="9" applyNumberFormat="1" applyFont="1" applyFill="1" applyAlignment="1" applyProtection="1"/>
    <xf numFmtId="172" fontId="25" fillId="2" borderId="0" xfId="1" applyNumberFormat="1" applyFont="1" applyFill="1" applyProtection="1"/>
    <xf numFmtId="165" fontId="27" fillId="2" borderId="0" xfId="9" applyNumberFormat="1" applyFont="1" applyFill="1" applyProtection="1"/>
    <xf numFmtId="1" fontId="29" fillId="2" borderId="0" xfId="1" applyNumberFormat="1" applyFont="1" applyFill="1" applyAlignment="1" applyProtection="1">
      <alignment horizontal="center"/>
    </xf>
    <xf numFmtId="0" fontId="29" fillId="2" borderId="0" xfId="1" applyFont="1" applyFill="1" applyAlignment="1" applyProtection="1">
      <alignment horizontal="center"/>
    </xf>
  </cellXfs>
  <cellStyles count="19">
    <cellStyle name="Comma" xfId="5" builtinId="3"/>
    <cellStyle name="Comma 10" xfId="12"/>
    <cellStyle name="Comma 2" xfId="13"/>
    <cellStyle name="Comma 2 2" xfId="15"/>
    <cellStyle name="Comma 2 2 2" xfId="2"/>
    <cellStyle name="Comma 4 2" xfId="3"/>
    <cellStyle name="Comma 7 2 2" xfId="4"/>
    <cellStyle name="Comma 9" xfId="14"/>
    <cellStyle name="Normal" xfId="0" builtinId="0"/>
    <cellStyle name="Normal 14 2" xfId="1"/>
    <cellStyle name="Normal 2" xfId="10"/>
    <cellStyle name="Normal 3" xfId="11"/>
    <cellStyle name="Normal 4" xfId="16"/>
    <cellStyle name="Normal 5" xfId="17"/>
    <cellStyle name="Normal 6" xfId="18"/>
    <cellStyle name="Percent 3 2" xfId="8"/>
    <cellStyle name="Percent 5 2 2" xfId="6"/>
    <cellStyle name="Финансовый 2 2" xfId="9"/>
    <cellStyle name="Финансовый 4 2" xfId="7"/>
  </cellStyles>
  <dxfs count="14"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ayane/Gayane_official/save/VTB-verjnakan/VTB_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bligation/Share/229/Ashxatanqain/&#1355;&#1377;&#1398;&#1403;&#1400;&#1410;&#1394;&#1377;&#1382;&#1397;&#1377;&#1398;%20&#1415;%20&#1334;&#1377;&#1408;&#1379;&#1377;&#1408;&#1397;&#1377;&#1398;/TEXEKANQNER/Texekanqner-2025/Portfel%202025/2025.31.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2014"/>
      <sheetName val="VTB kanxatesum"/>
      <sheetName val="Report 2013,2015"/>
      <sheetName val="Sheet2"/>
      <sheetName val="VTB"/>
      <sheetName val="Report 2012"/>
      <sheetName val="Sheet1"/>
      <sheetName val="Report 2011"/>
      <sheetName val="Report 2010"/>
      <sheetName val="Report 2009"/>
      <sheetName val="Report 2008"/>
      <sheetName val="VTB hamemat"/>
      <sheetName val="VTB 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դեկտեմբեր2023"/>
      <sheetName val="Sheet1"/>
      <sheetName val="հունվար"/>
      <sheetName val="փետրվոր"/>
      <sheetName val="մարտ"/>
      <sheetName val="ապրիլ"/>
      <sheetName val="մայիս"/>
      <sheetName val="հունիս"/>
      <sheetName val="hուլի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facebook.com/ardshinbank?__cft__%5b0%5d=AZX4cLQ36QQaveYmBJLNwM4i3yFL-Jq3lRMglBMvmMyCeaCmf9KseiRpedNzsD-w-NUz5L1S3K9pPu7PRUOKhTbC9zl5ixI2qODNbaDOK9ZJTdu8Aeg6oTqRZlc5bdxBSExwRTq39SrkOfi8-FJqwhyrVUTqvR1t9KnNN6VATB5fXzqOBdW76ka9eHqdrKDhscC4ZqJLedR9d_aUCgzs2r4a&amp;__tn__=-UC%2CP-R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G32"/>
  <sheetViews>
    <sheetView zoomScaleNormal="100" workbookViewId="0">
      <selection activeCell="D11" sqref="D11"/>
    </sheetView>
  </sheetViews>
  <sheetFormatPr defaultColWidth="25.85546875" defaultRowHeight="15.75" x14ac:dyDescent="0.25"/>
  <cols>
    <col min="1" max="1" width="35.85546875" style="183" customWidth="1"/>
    <col min="2" max="2" width="35.140625" style="183" customWidth="1"/>
    <col min="3" max="3" width="35.85546875" style="183" customWidth="1"/>
    <col min="4" max="4" width="32.42578125" style="183" customWidth="1"/>
    <col min="5" max="5" width="28.85546875" style="183" customWidth="1"/>
    <col min="6" max="6" width="22.28515625" style="183" customWidth="1"/>
    <col min="7" max="16384" width="25.85546875" style="183"/>
  </cols>
  <sheetData>
    <row r="1" spans="1:7" s="182" customFormat="1" x14ac:dyDescent="0.25">
      <c r="A1" s="222" t="s">
        <v>256</v>
      </c>
      <c r="B1" s="222"/>
      <c r="C1" s="222"/>
      <c r="D1" s="222"/>
      <c r="E1" s="222"/>
    </row>
    <row r="2" spans="1:7" s="182" customFormat="1" ht="61.5" customHeight="1" x14ac:dyDescent="0.25">
      <c r="A2" s="222" t="s">
        <v>603</v>
      </c>
      <c r="B2" s="222"/>
      <c r="C2" s="222"/>
      <c r="D2" s="222"/>
      <c r="E2" s="222"/>
    </row>
    <row r="4" spans="1:7" ht="16.5" thickBot="1" x14ac:dyDescent="0.3"/>
    <row r="5" spans="1:7" s="182" customFormat="1" ht="51.75" x14ac:dyDescent="0.25">
      <c r="A5" s="184" t="s">
        <v>257</v>
      </c>
      <c r="B5" s="185" t="s">
        <v>258</v>
      </c>
      <c r="C5" s="185" t="s">
        <v>259</v>
      </c>
      <c r="D5" s="185" t="s">
        <v>260</v>
      </c>
      <c r="E5" s="186" t="s">
        <v>268</v>
      </c>
    </row>
    <row r="6" spans="1:7" ht="34.5" x14ac:dyDescent="0.25">
      <c r="A6" s="187" t="s">
        <v>346</v>
      </c>
      <c r="B6" s="188" t="s">
        <v>261</v>
      </c>
      <c r="C6" s="188" t="s">
        <v>352</v>
      </c>
      <c r="D6" s="189">
        <v>139373675</v>
      </c>
      <c r="E6" s="189">
        <v>37026939.600000031</v>
      </c>
      <c r="G6" s="190"/>
    </row>
    <row r="7" spans="1:7" ht="34.5" x14ac:dyDescent="0.25">
      <c r="A7" s="187" t="s">
        <v>345</v>
      </c>
      <c r="B7" s="188" t="s">
        <v>340</v>
      </c>
      <c r="C7" s="188" t="s">
        <v>351</v>
      </c>
      <c r="D7" s="189">
        <v>1248200000</v>
      </c>
      <c r="E7" s="189">
        <v>296954973.10000032</v>
      </c>
      <c r="G7" s="190"/>
    </row>
    <row r="8" spans="1:7" ht="33" customHeight="1" x14ac:dyDescent="0.25">
      <c r="A8" s="187" t="s">
        <v>347</v>
      </c>
      <c r="B8" s="188" t="s">
        <v>349</v>
      </c>
      <c r="C8" s="188" t="s">
        <v>351</v>
      </c>
      <c r="D8" s="189">
        <v>900000000</v>
      </c>
      <c r="E8" s="189">
        <v>264733270.39999989</v>
      </c>
      <c r="G8" s="190"/>
    </row>
    <row r="9" spans="1:7" ht="34.5" x14ac:dyDescent="0.25">
      <c r="A9" s="187" t="s">
        <v>348</v>
      </c>
      <c r="B9" s="188" t="s">
        <v>350</v>
      </c>
      <c r="C9" s="188" t="s">
        <v>352</v>
      </c>
      <c r="D9" s="189">
        <v>250000000</v>
      </c>
      <c r="E9" s="189">
        <v>103707021.09999996</v>
      </c>
      <c r="G9" s="190"/>
    </row>
    <row r="10" spans="1:7" ht="34.5" x14ac:dyDescent="0.25">
      <c r="A10" s="191" t="s">
        <v>368</v>
      </c>
      <c r="B10" s="188" t="s">
        <v>261</v>
      </c>
      <c r="C10" s="188" t="s">
        <v>389</v>
      </c>
      <c r="D10" s="189">
        <v>218138000</v>
      </c>
      <c r="E10" s="189">
        <v>90890833.499999985</v>
      </c>
      <c r="G10" s="190"/>
    </row>
    <row r="11" spans="1:7" ht="28.5" customHeight="1" x14ac:dyDescent="0.25">
      <c r="A11" s="191" t="s">
        <v>362</v>
      </c>
      <c r="B11" s="188" t="s">
        <v>261</v>
      </c>
      <c r="C11" s="188" t="s">
        <v>390</v>
      </c>
      <c r="D11" s="189">
        <v>692955973</v>
      </c>
      <c r="E11" s="189">
        <v>230985324</v>
      </c>
      <c r="G11" s="190"/>
    </row>
    <row r="12" spans="1:7" ht="36.75" customHeight="1" x14ac:dyDescent="0.25">
      <c r="A12" s="187" t="s">
        <v>391</v>
      </c>
      <c r="B12" s="188" t="s">
        <v>261</v>
      </c>
      <c r="C12" s="188" t="s">
        <v>392</v>
      </c>
      <c r="D12" s="189">
        <v>674283500</v>
      </c>
      <c r="E12" s="189">
        <v>198318676.39999989</v>
      </c>
      <c r="G12" s="190"/>
    </row>
    <row r="13" spans="1:7" ht="34.5" x14ac:dyDescent="0.25">
      <c r="A13" s="187" t="s">
        <v>341</v>
      </c>
      <c r="B13" s="188" t="s">
        <v>340</v>
      </c>
      <c r="C13" s="188" t="s">
        <v>403</v>
      </c>
      <c r="D13" s="189">
        <v>750000000</v>
      </c>
      <c r="E13" s="189">
        <v>750000000</v>
      </c>
      <c r="G13" s="190"/>
    </row>
    <row r="14" spans="1:7" ht="51.75" x14ac:dyDescent="0.25">
      <c r="A14" s="187" t="s">
        <v>341</v>
      </c>
      <c r="B14" s="188" t="s">
        <v>267</v>
      </c>
      <c r="C14" s="192" t="s">
        <v>405</v>
      </c>
      <c r="D14" s="189">
        <v>150000000</v>
      </c>
      <c r="E14" s="189">
        <v>150000000</v>
      </c>
      <c r="G14" s="190"/>
    </row>
    <row r="15" spans="1:7" ht="50.25" customHeight="1" x14ac:dyDescent="0.25">
      <c r="A15" s="187" t="s">
        <v>345</v>
      </c>
      <c r="B15" s="188" t="s">
        <v>261</v>
      </c>
      <c r="C15" s="192" t="s">
        <v>406</v>
      </c>
      <c r="D15" s="189">
        <v>500000000</v>
      </c>
      <c r="E15" s="189">
        <v>500000000</v>
      </c>
      <c r="G15" s="190"/>
    </row>
    <row r="16" spans="1:7" ht="47.25" customHeight="1" x14ac:dyDescent="0.25">
      <c r="A16" s="187" t="s">
        <v>391</v>
      </c>
      <c r="B16" s="188" t="s">
        <v>261</v>
      </c>
      <c r="C16" s="192" t="s">
        <v>407</v>
      </c>
      <c r="D16" s="189">
        <v>1283781000</v>
      </c>
      <c r="E16" s="189">
        <v>1283781000</v>
      </c>
      <c r="G16" s="190"/>
    </row>
    <row r="17" spans="1:7" ht="47.25" customHeight="1" x14ac:dyDescent="0.25">
      <c r="A17" s="187" t="s">
        <v>391</v>
      </c>
      <c r="B17" s="188" t="s">
        <v>261</v>
      </c>
      <c r="C17" s="193" t="s">
        <v>457</v>
      </c>
      <c r="D17" s="189">
        <v>362881650</v>
      </c>
      <c r="E17" s="189">
        <v>362881650</v>
      </c>
      <c r="G17" s="190"/>
    </row>
    <row r="18" spans="1:7" ht="47.25" customHeight="1" x14ac:dyDescent="0.25">
      <c r="A18" s="187" t="s">
        <v>341</v>
      </c>
      <c r="B18" s="188" t="s">
        <v>340</v>
      </c>
      <c r="C18" s="193" t="s">
        <v>458</v>
      </c>
      <c r="D18" s="189">
        <v>1000000000</v>
      </c>
      <c r="E18" s="189">
        <v>1000000000</v>
      </c>
      <c r="G18" s="190"/>
    </row>
    <row r="19" spans="1:7" ht="66" customHeight="1" x14ac:dyDescent="0.25">
      <c r="A19" s="187" t="s">
        <v>341</v>
      </c>
      <c r="B19" s="188" t="s">
        <v>267</v>
      </c>
      <c r="C19" s="193" t="s">
        <v>465</v>
      </c>
      <c r="D19" s="189">
        <v>150000000</v>
      </c>
      <c r="E19" s="189">
        <v>150000000</v>
      </c>
      <c r="G19" s="190"/>
    </row>
    <row r="20" spans="1:7" ht="47.25" customHeight="1" x14ac:dyDescent="0.25">
      <c r="A20" s="187" t="s">
        <v>391</v>
      </c>
      <c r="B20" s="188" t="s">
        <v>261</v>
      </c>
      <c r="C20" s="193" t="s">
        <v>463</v>
      </c>
      <c r="D20" s="189">
        <v>731221200</v>
      </c>
      <c r="E20" s="189">
        <v>731221200</v>
      </c>
      <c r="G20" s="190"/>
    </row>
    <row r="21" spans="1:7" ht="47.25" customHeight="1" x14ac:dyDescent="0.25">
      <c r="A21" s="187" t="s">
        <v>345</v>
      </c>
      <c r="B21" s="188" t="s">
        <v>464</v>
      </c>
      <c r="C21" s="193" t="s">
        <v>463</v>
      </c>
      <c r="D21" s="189">
        <v>375000000</v>
      </c>
      <c r="E21" s="189">
        <v>375000000</v>
      </c>
      <c r="G21" s="190"/>
    </row>
    <row r="22" spans="1:7" ht="47.25" customHeight="1" x14ac:dyDescent="0.25">
      <c r="A22" s="187" t="s">
        <v>477</v>
      </c>
      <c r="B22" s="188" t="s">
        <v>350</v>
      </c>
      <c r="C22" s="193" t="s">
        <v>463</v>
      </c>
      <c r="D22" s="189">
        <v>469729975</v>
      </c>
      <c r="E22" s="189">
        <v>469729975</v>
      </c>
      <c r="G22" s="190"/>
    </row>
    <row r="23" spans="1:7" ht="33" customHeight="1" thickBot="1" x14ac:dyDescent="0.3">
      <c r="A23" s="194" t="s">
        <v>262</v>
      </c>
      <c r="B23" s="195"/>
      <c r="C23" s="195"/>
      <c r="D23" s="196">
        <f>SUM(D6:D22)</f>
        <v>9895564973</v>
      </c>
      <c r="E23" s="197">
        <f>SUM(E6:E22)</f>
        <v>6995230863.1000004</v>
      </c>
      <c r="F23" s="190"/>
    </row>
    <row r="26" spans="1:7" ht="17.25" x14ac:dyDescent="0.3">
      <c r="A26" s="198"/>
      <c r="B26" s="198"/>
      <c r="C26" s="198"/>
      <c r="D26" s="198"/>
      <c r="E26" s="198"/>
      <c r="F26" s="198"/>
      <c r="G26" s="199"/>
    </row>
    <row r="27" spans="1:7" ht="17.25" x14ac:dyDescent="0.3">
      <c r="A27" s="198"/>
      <c r="B27" s="198"/>
      <c r="C27" s="198"/>
      <c r="D27" s="198"/>
      <c r="E27" s="198"/>
      <c r="F27" s="198"/>
      <c r="G27" s="199"/>
    </row>
    <row r="28" spans="1:7" ht="17.25" x14ac:dyDescent="0.3">
      <c r="A28" s="198"/>
      <c r="B28" s="198"/>
      <c r="C28" s="198"/>
      <c r="D28" s="198"/>
      <c r="E28" s="198"/>
      <c r="F28" s="198"/>
      <c r="G28" s="199"/>
    </row>
    <row r="29" spans="1:7" ht="17.25" x14ac:dyDescent="0.3">
      <c r="A29" s="198"/>
      <c r="B29" s="198"/>
      <c r="C29" s="198"/>
      <c r="D29" s="198"/>
      <c r="E29" s="198"/>
      <c r="F29" s="198"/>
      <c r="G29" s="199"/>
    </row>
    <row r="30" spans="1:7" ht="17.25" x14ac:dyDescent="0.3">
      <c r="A30" s="198"/>
      <c r="B30" s="198"/>
      <c r="C30" s="198"/>
      <c r="D30" s="198"/>
      <c r="E30" s="198"/>
      <c r="F30" s="198"/>
      <c r="G30" s="199"/>
    </row>
    <row r="31" spans="1:7" ht="17.25" x14ac:dyDescent="0.3">
      <c r="A31" s="198"/>
      <c r="B31" s="198"/>
      <c r="C31" s="198"/>
      <c r="D31" s="198"/>
      <c r="E31" s="198"/>
      <c r="F31" s="198"/>
      <c r="G31" s="199"/>
    </row>
    <row r="32" spans="1:7" ht="17.25" x14ac:dyDescent="0.3">
      <c r="A32" s="198"/>
      <c r="B32" s="198"/>
      <c r="C32" s="198"/>
      <c r="D32" s="198"/>
      <c r="E32" s="198"/>
      <c r="F32" s="198"/>
      <c r="G32" s="199"/>
    </row>
  </sheetData>
  <mergeCells count="2">
    <mergeCell ref="A2:E2"/>
    <mergeCell ref="A1:E1"/>
  </mergeCells>
  <pageMargins left="0.7" right="0.7" top="0.75" bottom="0.75" header="0.3" footer="0.3"/>
  <pageSetup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O26"/>
  <sheetViews>
    <sheetView zoomScaleNormal="100" workbookViewId="0">
      <selection activeCell="B10" sqref="B10"/>
    </sheetView>
  </sheetViews>
  <sheetFormatPr defaultColWidth="9.140625" defaultRowHeight="13.5" x14ac:dyDescent="0.25"/>
  <cols>
    <col min="1" max="1" width="46.42578125" style="200" customWidth="1"/>
    <col min="2" max="2" width="28.7109375" style="200" customWidth="1"/>
    <col min="3" max="3" width="36.42578125" style="200" customWidth="1"/>
    <col min="4" max="4" width="20.28515625" style="200" customWidth="1"/>
    <col min="5" max="5" width="44.85546875" style="200" customWidth="1"/>
    <col min="6" max="6" width="21.7109375" style="200" customWidth="1"/>
    <col min="7" max="7" width="20.28515625" style="200" customWidth="1"/>
    <col min="8" max="8" width="20.85546875" style="201" customWidth="1"/>
    <col min="9" max="9" width="12.28515625" style="201" customWidth="1"/>
    <col min="10" max="10" width="11.85546875" style="201" customWidth="1"/>
    <col min="11" max="15" width="9.140625" style="201"/>
    <col min="16" max="16384" width="9.140625" style="200"/>
  </cols>
  <sheetData>
    <row r="1" spans="1:15" ht="9" customHeight="1" x14ac:dyDescent="0.25"/>
    <row r="2" spans="1:15" s="202" customFormat="1" ht="17.25" customHeight="1" x14ac:dyDescent="0.25">
      <c r="A2" s="227" t="s">
        <v>353</v>
      </c>
      <c r="B2" s="227"/>
      <c r="C2" s="228" t="s">
        <v>354</v>
      </c>
      <c r="D2" s="228"/>
      <c r="E2" s="228" t="s">
        <v>355</v>
      </c>
      <c r="F2" s="228"/>
      <c r="I2" s="203"/>
      <c r="J2" s="203"/>
      <c r="K2" s="203"/>
      <c r="L2" s="203"/>
      <c r="M2" s="203"/>
      <c r="N2" s="203"/>
      <c r="O2" s="203"/>
    </row>
    <row r="3" spans="1:15" ht="15" thickBot="1" x14ac:dyDescent="0.3">
      <c r="H3" s="204" t="s">
        <v>604</v>
      </c>
    </row>
    <row r="4" spans="1:15" s="208" customFormat="1" ht="22.5" customHeight="1" x14ac:dyDescent="0.25">
      <c r="A4" s="229" t="s">
        <v>356</v>
      </c>
      <c r="B4" s="230"/>
      <c r="C4" s="230" t="s">
        <v>357</v>
      </c>
      <c r="D4" s="230"/>
      <c r="E4" s="230" t="s">
        <v>358</v>
      </c>
      <c r="F4" s="230"/>
      <c r="G4" s="205">
        <f>SUM(G6:G22)</f>
        <v>9895564973</v>
      </c>
      <c r="H4" s="206">
        <f>SUM(H6:H22)</f>
        <v>6995230863.1000004</v>
      </c>
      <c r="I4" s="207"/>
      <c r="J4" s="207"/>
      <c r="K4" s="207"/>
      <c r="L4" s="207"/>
      <c r="M4" s="207"/>
      <c r="N4" s="207"/>
      <c r="O4" s="207"/>
    </row>
    <row r="5" spans="1:15" s="208" customFormat="1" ht="112.5" customHeight="1" x14ac:dyDescent="0.25">
      <c r="A5" s="225" t="s">
        <v>359</v>
      </c>
      <c r="B5" s="226"/>
      <c r="C5" s="226" t="s">
        <v>360</v>
      </c>
      <c r="D5" s="226"/>
      <c r="E5" s="226" t="s">
        <v>361</v>
      </c>
      <c r="F5" s="226"/>
      <c r="G5" s="209" t="s">
        <v>393</v>
      </c>
      <c r="H5" s="210" t="s">
        <v>394</v>
      </c>
      <c r="I5" s="207"/>
      <c r="J5" s="207"/>
      <c r="K5" s="207"/>
      <c r="L5" s="207"/>
      <c r="M5" s="207"/>
      <c r="N5" s="207"/>
      <c r="O5" s="207"/>
    </row>
    <row r="6" spans="1:15" ht="30.75" customHeight="1" x14ac:dyDescent="0.25">
      <c r="A6" s="211" t="s">
        <v>346</v>
      </c>
      <c r="B6" s="212" t="s">
        <v>261</v>
      </c>
      <c r="C6" s="212" t="s">
        <v>367</v>
      </c>
      <c r="D6" s="212" t="s">
        <v>364</v>
      </c>
      <c r="E6" s="212" t="s">
        <v>467</v>
      </c>
      <c r="F6" s="212" t="s">
        <v>366</v>
      </c>
      <c r="G6" s="213">
        <v>139373675</v>
      </c>
      <c r="H6" s="209">
        <v>37026939.600000031</v>
      </c>
      <c r="J6" s="214"/>
    </row>
    <row r="7" spans="1:15" ht="50.25" customHeight="1" x14ac:dyDescent="0.25">
      <c r="A7" s="211" t="s">
        <v>345</v>
      </c>
      <c r="B7" s="212" t="s">
        <v>340</v>
      </c>
      <c r="C7" s="212" t="s">
        <v>374</v>
      </c>
      <c r="D7" s="212" t="s">
        <v>376</v>
      </c>
      <c r="E7" s="212" t="s">
        <v>466</v>
      </c>
      <c r="F7" s="212" t="s">
        <v>378</v>
      </c>
      <c r="G7" s="213">
        <v>1248200000</v>
      </c>
      <c r="H7" s="209">
        <v>296954973.10000032</v>
      </c>
      <c r="J7" s="214"/>
    </row>
    <row r="8" spans="1:15" ht="27.75" customHeight="1" x14ac:dyDescent="0.25">
      <c r="A8" s="211" t="s">
        <v>347</v>
      </c>
      <c r="B8" s="212" t="s">
        <v>349</v>
      </c>
      <c r="C8" s="212" t="s">
        <v>380</v>
      </c>
      <c r="D8" s="212" t="s">
        <v>381</v>
      </c>
      <c r="E8" s="212" t="s">
        <v>382</v>
      </c>
      <c r="F8" s="212" t="s">
        <v>383</v>
      </c>
      <c r="G8" s="213">
        <v>900000000</v>
      </c>
      <c r="H8" s="209">
        <v>264733270.39999989</v>
      </c>
      <c r="J8" s="214"/>
    </row>
    <row r="9" spans="1:15" ht="38.25" customHeight="1" x14ac:dyDescent="0.25">
      <c r="A9" s="211" t="s">
        <v>348</v>
      </c>
      <c r="B9" s="212" t="s">
        <v>350</v>
      </c>
      <c r="C9" s="212" t="s">
        <v>379</v>
      </c>
      <c r="D9" s="212" t="s">
        <v>384</v>
      </c>
      <c r="E9" s="212" t="s">
        <v>469</v>
      </c>
      <c r="F9" s="212" t="s">
        <v>385</v>
      </c>
      <c r="G9" s="213">
        <v>250000000</v>
      </c>
      <c r="H9" s="209">
        <v>103707021.09999996</v>
      </c>
      <c r="J9" s="214"/>
    </row>
    <row r="10" spans="1:15" ht="38.25" customHeight="1" x14ac:dyDescent="0.25">
      <c r="A10" s="211" t="s">
        <v>368</v>
      </c>
      <c r="B10" s="212" t="s">
        <v>261</v>
      </c>
      <c r="C10" s="212" t="s">
        <v>369</v>
      </c>
      <c r="D10" s="212" t="s">
        <v>364</v>
      </c>
      <c r="E10" s="212" t="s">
        <v>468</v>
      </c>
      <c r="F10" s="212" t="s">
        <v>366</v>
      </c>
      <c r="G10" s="213">
        <v>218138000</v>
      </c>
      <c r="H10" s="209">
        <v>90890833.499999985</v>
      </c>
      <c r="I10" s="215"/>
      <c r="J10" s="214"/>
    </row>
    <row r="11" spans="1:15" ht="38.25" customHeight="1" x14ac:dyDescent="0.25">
      <c r="A11" s="211" t="s">
        <v>362</v>
      </c>
      <c r="B11" s="212" t="s">
        <v>261</v>
      </c>
      <c r="C11" s="212" t="s">
        <v>363</v>
      </c>
      <c r="D11" s="212" t="s">
        <v>364</v>
      </c>
      <c r="E11" s="212" t="s">
        <v>365</v>
      </c>
      <c r="F11" s="212" t="s">
        <v>366</v>
      </c>
      <c r="G11" s="213">
        <v>692955973</v>
      </c>
      <c r="H11" s="209">
        <v>230985324</v>
      </c>
      <c r="I11" s="215"/>
      <c r="J11" s="214"/>
    </row>
    <row r="12" spans="1:15" ht="38.25" customHeight="1" x14ac:dyDescent="0.25">
      <c r="A12" s="211" t="s">
        <v>391</v>
      </c>
      <c r="B12" s="212" t="s">
        <v>261</v>
      </c>
      <c r="C12" s="212" t="s">
        <v>370</v>
      </c>
      <c r="D12" s="212" t="s">
        <v>364</v>
      </c>
      <c r="E12" s="212" t="s">
        <v>371</v>
      </c>
      <c r="F12" s="212" t="s">
        <v>366</v>
      </c>
      <c r="G12" s="213">
        <v>674283500</v>
      </c>
      <c r="H12" s="209">
        <v>198318676.39999989</v>
      </c>
      <c r="I12" s="215"/>
      <c r="J12" s="214"/>
    </row>
    <row r="13" spans="1:15" ht="38.25" customHeight="1" x14ac:dyDescent="0.25">
      <c r="A13" s="216" t="s">
        <v>341</v>
      </c>
      <c r="B13" s="217" t="s">
        <v>340</v>
      </c>
      <c r="C13" s="217" t="s">
        <v>375</v>
      </c>
      <c r="D13" s="217" t="s">
        <v>376</v>
      </c>
      <c r="E13" s="217" t="s">
        <v>377</v>
      </c>
      <c r="F13" s="217" t="s">
        <v>378</v>
      </c>
      <c r="G13" s="218">
        <v>750000000</v>
      </c>
      <c r="H13" s="209">
        <v>750000000</v>
      </c>
      <c r="I13" s="215"/>
      <c r="J13" s="214"/>
    </row>
    <row r="14" spans="1:15" s="219" customFormat="1" ht="94.5" customHeight="1" x14ac:dyDescent="0.3">
      <c r="A14" s="216" t="s">
        <v>341</v>
      </c>
      <c r="B14" s="217" t="s">
        <v>267</v>
      </c>
      <c r="C14" s="217" t="s">
        <v>375</v>
      </c>
      <c r="D14" s="217" t="s">
        <v>372</v>
      </c>
      <c r="E14" s="217" t="s">
        <v>377</v>
      </c>
      <c r="F14" s="212" t="s">
        <v>373</v>
      </c>
      <c r="G14" s="218">
        <v>150000000</v>
      </c>
      <c r="H14" s="209">
        <v>150000000</v>
      </c>
      <c r="J14" s="214"/>
    </row>
    <row r="15" spans="1:15" s="219" customFormat="1" ht="102.75" customHeight="1" x14ac:dyDescent="0.3">
      <c r="A15" s="211" t="s">
        <v>345</v>
      </c>
      <c r="B15" s="212" t="s">
        <v>261</v>
      </c>
      <c r="C15" s="212" t="s">
        <v>374</v>
      </c>
      <c r="D15" s="212" t="s">
        <v>364</v>
      </c>
      <c r="E15" s="212" t="s">
        <v>466</v>
      </c>
      <c r="F15" s="212" t="s">
        <v>366</v>
      </c>
      <c r="G15" s="218">
        <v>500000000</v>
      </c>
      <c r="H15" s="209">
        <v>500000000</v>
      </c>
      <c r="J15" s="214"/>
    </row>
    <row r="16" spans="1:15" s="219" customFormat="1" ht="96" customHeight="1" x14ac:dyDescent="0.3">
      <c r="A16" s="211" t="s">
        <v>391</v>
      </c>
      <c r="B16" s="212" t="s">
        <v>261</v>
      </c>
      <c r="C16" s="212" t="s">
        <v>370</v>
      </c>
      <c r="D16" s="212" t="s">
        <v>364</v>
      </c>
      <c r="E16" s="212" t="s">
        <v>371</v>
      </c>
      <c r="F16" s="212" t="s">
        <v>366</v>
      </c>
      <c r="G16" s="218">
        <v>1283781000</v>
      </c>
      <c r="H16" s="209">
        <v>1283781000</v>
      </c>
      <c r="J16" s="214"/>
    </row>
    <row r="17" spans="1:10" s="219" customFormat="1" ht="114.75" customHeight="1" x14ac:dyDescent="0.3">
      <c r="A17" s="211" t="s">
        <v>391</v>
      </c>
      <c r="B17" s="217" t="s">
        <v>261</v>
      </c>
      <c r="C17" s="217" t="s">
        <v>370</v>
      </c>
      <c r="D17" s="217" t="s">
        <v>364</v>
      </c>
      <c r="E17" s="217" t="s">
        <v>371</v>
      </c>
      <c r="F17" s="217" t="s">
        <v>366</v>
      </c>
      <c r="G17" s="218">
        <v>362881650</v>
      </c>
      <c r="H17" s="209">
        <v>362881650</v>
      </c>
      <c r="J17" s="214"/>
    </row>
    <row r="18" spans="1:10" s="219" customFormat="1" ht="114.75" customHeight="1" x14ac:dyDescent="0.3">
      <c r="A18" s="216" t="s">
        <v>341</v>
      </c>
      <c r="B18" s="217" t="s">
        <v>340</v>
      </c>
      <c r="C18" s="217" t="s">
        <v>375</v>
      </c>
      <c r="D18" s="217" t="s">
        <v>376</v>
      </c>
      <c r="E18" s="217" t="s">
        <v>377</v>
      </c>
      <c r="F18" s="217" t="s">
        <v>378</v>
      </c>
      <c r="G18" s="218">
        <v>1000000000</v>
      </c>
      <c r="H18" s="209">
        <v>1000000000</v>
      </c>
      <c r="J18" s="214"/>
    </row>
    <row r="19" spans="1:10" s="219" customFormat="1" ht="114.75" customHeight="1" x14ac:dyDescent="0.3">
      <c r="A19" s="216" t="s">
        <v>341</v>
      </c>
      <c r="B19" s="217" t="s">
        <v>267</v>
      </c>
      <c r="C19" s="217" t="s">
        <v>375</v>
      </c>
      <c r="D19" s="217" t="s">
        <v>372</v>
      </c>
      <c r="E19" s="217" t="s">
        <v>377</v>
      </c>
      <c r="F19" s="212" t="s">
        <v>373</v>
      </c>
      <c r="G19" s="218">
        <v>150000000</v>
      </c>
      <c r="H19" s="209">
        <v>150000000</v>
      </c>
      <c r="J19" s="214"/>
    </row>
    <row r="20" spans="1:10" s="219" customFormat="1" ht="114.75" customHeight="1" x14ac:dyDescent="0.3">
      <c r="A20" s="212" t="s">
        <v>391</v>
      </c>
      <c r="B20" s="212" t="s">
        <v>261</v>
      </c>
      <c r="C20" s="212" t="s">
        <v>370</v>
      </c>
      <c r="D20" s="212" t="s">
        <v>364</v>
      </c>
      <c r="E20" s="212" t="s">
        <v>371</v>
      </c>
      <c r="F20" s="212" t="s">
        <v>366</v>
      </c>
      <c r="G20" s="213">
        <v>731221200</v>
      </c>
      <c r="H20" s="209">
        <v>731221200</v>
      </c>
      <c r="J20" s="214"/>
    </row>
    <row r="21" spans="1:10" s="219" customFormat="1" ht="114.75" customHeight="1" x14ac:dyDescent="0.3">
      <c r="A21" s="212" t="s">
        <v>345</v>
      </c>
      <c r="B21" s="212" t="s">
        <v>464</v>
      </c>
      <c r="C21" s="212" t="s">
        <v>374</v>
      </c>
      <c r="D21" s="212" t="s">
        <v>475</v>
      </c>
      <c r="E21" s="212" t="s">
        <v>474</v>
      </c>
      <c r="F21" s="212" t="s">
        <v>476</v>
      </c>
      <c r="G21" s="213">
        <v>375000000</v>
      </c>
      <c r="H21" s="209">
        <v>375000000</v>
      </c>
      <c r="J21" s="214"/>
    </row>
    <row r="22" spans="1:10" s="219" customFormat="1" ht="114.75" customHeight="1" x14ac:dyDescent="0.3">
      <c r="A22" s="212" t="s">
        <v>477</v>
      </c>
      <c r="B22" s="212" t="s">
        <v>470</v>
      </c>
      <c r="C22" s="212" t="s">
        <v>473</v>
      </c>
      <c r="D22" s="212" t="s">
        <v>471</v>
      </c>
      <c r="E22" s="212" t="s">
        <v>472</v>
      </c>
      <c r="F22" s="212" t="s">
        <v>385</v>
      </c>
      <c r="G22" s="213">
        <v>469729975</v>
      </c>
      <c r="H22" s="209">
        <v>469729975</v>
      </c>
      <c r="J22" s="214"/>
    </row>
    <row r="23" spans="1:10" ht="73.5" customHeight="1" thickBot="1" x14ac:dyDescent="0.3">
      <c r="A23" s="223" t="s">
        <v>386</v>
      </c>
      <c r="B23" s="224"/>
      <c r="C23" s="224" t="s">
        <v>387</v>
      </c>
      <c r="D23" s="224"/>
      <c r="E23" s="224" t="s">
        <v>388</v>
      </c>
      <c r="F23" s="224"/>
      <c r="G23" s="220"/>
      <c r="H23" s="221"/>
      <c r="J23" s="214"/>
    </row>
    <row r="24" spans="1:10" ht="35.1" customHeight="1" x14ac:dyDescent="0.25"/>
    <row r="25" spans="1:10" ht="27.75" customHeight="1" x14ac:dyDescent="0.25"/>
    <row r="26" spans="1:10" ht="54.75" customHeight="1" x14ac:dyDescent="0.25"/>
  </sheetData>
  <mergeCells count="12">
    <mergeCell ref="A2:B2"/>
    <mergeCell ref="C2:D2"/>
    <mergeCell ref="E2:F2"/>
    <mergeCell ref="A4:B4"/>
    <mergeCell ref="C4:D4"/>
    <mergeCell ref="E4:F4"/>
    <mergeCell ref="A23:B23"/>
    <mergeCell ref="C23:D23"/>
    <mergeCell ref="E23:F23"/>
    <mergeCell ref="A5:B5"/>
    <mergeCell ref="C5:D5"/>
    <mergeCell ref="E5:F5"/>
  </mergeCells>
  <hyperlinks>
    <hyperlink ref="D22" r:id="rId1" display="https://www.facebook.com/ardshinbank?__cft__%5b0%5d=AZX4cLQ36QQaveYmBJLNwM4i3yFL-Jq3lRMglBMvmMyCeaCmf9KseiRpedNzsD-w-NUz5L1S3K9pPu7PRUOKhTbC9zl5ixI2qODNbaDOK9ZJTdu8Aeg6oTqRZlc5bdxBSExwRTq39SrkOfi8-FJqwhyrVUTqvR1t9KnNN6VATB5fXzqOBdW76ka9eHqdrKDhscC4ZqJLedR9d_aUCgzs2r4a&amp;__tn__=-UC%2CP-R"/>
  </hyperlinks>
  <printOptions horizontalCentered="1"/>
  <pageMargins left="0.5" right="0.5" top="0.25" bottom="0.25" header="7.0000000000000007E-2" footer="0.16"/>
  <pageSetup paperSize="9" scale="40" orientation="landscape" r:id="rId2"/>
  <headerFooter>
    <oddFooter>&amp;R9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71"/>
  <sheetViews>
    <sheetView tabSelected="1" topLeftCell="B1" zoomScale="90" zoomScaleNormal="90" workbookViewId="0">
      <pane xSplit="1" ySplit="4" topLeftCell="C143" activePane="bottomRight" state="frozen"/>
      <selection activeCell="B1" sqref="B1"/>
      <selection pane="topRight" activeCell="C1" sqref="C1"/>
      <selection pane="bottomLeft" activeCell="B5" sqref="B5"/>
      <selection pane="bottomRight" activeCell="P142" sqref="P142"/>
    </sheetView>
  </sheetViews>
  <sheetFormatPr defaultRowHeight="13.5" outlineLevelRow="1" x14ac:dyDescent="0.25"/>
  <cols>
    <col min="1" max="1" width="6.85546875" style="273" customWidth="1"/>
    <col min="2" max="2" width="30.42578125" style="308" customWidth="1"/>
    <col min="3" max="3" width="30.42578125" style="273" customWidth="1"/>
    <col min="4" max="4" width="20.28515625" style="273" customWidth="1"/>
    <col min="5" max="5" width="25.85546875" style="273" customWidth="1"/>
    <col min="6" max="6" width="22.140625" style="273" customWidth="1"/>
    <col min="7" max="7" width="23" style="273" customWidth="1"/>
    <col min="8" max="8" width="23.28515625" style="475" customWidth="1"/>
    <col min="9" max="9" width="20.140625" style="273" customWidth="1"/>
    <col min="10" max="10" width="16.42578125" style="273" bestFit="1" customWidth="1"/>
    <col min="11" max="11" width="21.28515625" style="273" customWidth="1"/>
    <col min="12" max="12" width="20.28515625" style="273" customWidth="1"/>
    <col min="13" max="13" width="21.7109375" style="477" customWidth="1"/>
    <col min="14" max="14" width="18.5703125" style="273" customWidth="1"/>
    <col min="15" max="15" width="18.85546875" style="273" bestFit="1" customWidth="1"/>
    <col min="16" max="16" width="26.7109375" style="273" bestFit="1" customWidth="1"/>
    <col min="17" max="17" width="26.42578125" style="273" customWidth="1"/>
    <col min="18" max="18" width="23.42578125" style="273" customWidth="1"/>
    <col min="19" max="19" width="23.5703125" style="270" hidden="1" customWidth="1"/>
    <col min="20" max="20" width="21.85546875" style="273" customWidth="1"/>
    <col min="21" max="16384" width="9.140625" style="273"/>
  </cols>
  <sheetData>
    <row r="1" spans="1:20" ht="22.5" x14ac:dyDescent="0.4">
      <c r="A1" s="304" t="s">
        <v>10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5"/>
    </row>
    <row r="2" spans="1:20" ht="38.25" customHeight="1" x14ac:dyDescent="0.4">
      <c r="A2" s="306" t="s">
        <v>605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7"/>
    </row>
    <row r="3" spans="1:20" ht="33.75" customHeight="1" thickBot="1" x14ac:dyDescent="0.3">
      <c r="A3" s="293"/>
      <c r="C3" s="293"/>
      <c r="D3" s="293"/>
      <c r="E3" s="293"/>
      <c r="F3" s="293"/>
      <c r="G3" s="293"/>
      <c r="H3" s="309"/>
      <c r="I3" s="293"/>
      <c r="J3" s="293"/>
      <c r="K3" s="293"/>
      <c r="L3" s="293"/>
      <c r="M3" s="310"/>
      <c r="N3" s="293"/>
      <c r="O3" s="293"/>
      <c r="P3" s="293"/>
      <c r="Q3" s="293"/>
      <c r="R3" s="311"/>
    </row>
    <row r="4" spans="1:20" s="269" customFormat="1" ht="114" customHeight="1" thickBot="1" x14ac:dyDescent="0.3">
      <c r="A4" s="312" t="s">
        <v>11</v>
      </c>
      <c r="B4" s="313" t="s">
        <v>12</v>
      </c>
      <c r="C4" s="313" t="s">
        <v>491</v>
      </c>
      <c r="D4" s="313" t="s">
        <v>492</v>
      </c>
      <c r="E4" s="313" t="s">
        <v>493</v>
      </c>
      <c r="F4" s="313" t="s">
        <v>428</v>
      </c>
      <c r="G4" s="313" t="s">
        <v>421</v>
      </c>
      <c r="H4" s="313" t="s">
        <v>282</v>
      </c>
      <c r="I4" s="313" t="s">
        <v>274</v>
      </c>
      <c r="J4" s="313" t="s">
        <v>13</v>
      </c>
      <c r="K4" s="313" t="s">
        <v>14</v>
      </c>
      <c r="L4" s="313" t="s">
        <v>15</v>
      </c>
      <c r="M4" s="314" t="s">
        <v>16</v>
      </c>
      <c r="N4" s="313" t="s">
        <v>17</v>
      </c>
      <c r="O4" s="313" t="s">
        <v>18</v>
      </c>
      <c r="P4" s="313" t="s">
        <v>19</v>
      </c>
      <c r="Q4" s="313" t="s">
        <v>20</v>
      </c>
      <c r="R4" s="315" t="s">
        <v>422</v>
      </c>
      <c r="S4" s="267" t="s">
        <v>494</v>
      </c>
      <c r="T4" s="268"/>
    </row>
    <row r="5" spans="1:20" ht="75" customHeight="1" outlineLevel="1" x14ac:dyDescent="0.25">
      <c r="A5" s="316">
        <v>1</v>
      </c>
      <c r="B5" s="276" t="s">
        <v>21</v>
      </c>
      <c r="C5" s="276" t="s">
        <v>22</v>
      </c>
      <c r="D5" s="317" t="s">
        <v>23</v>
      </c>
      <c r="E5" s="318" t="s">
        <v>495</v>
      </c>
      <c r="F5" s="319" t="s">
        <v>429</v>
      </c>
      <c r="G5" s="317" t="s">
        <v>423</v>
      </c>
      <c r="H5" s="320" t="s">
        <v>283</v>
      </c>
      <c r="I5" s="317" t="s">
        <v>24</v>
      </c>
      <c r="J5" s="321" t="s">
        <v>25</v>
      </c>
      <c r="K5" s="290">
        <v>7300000</v>
      </c>
      <c r="L5" s="290">
        <f>5822389.5+13412.1+4470.7+716451.75+24588.85+716451.75+2235.35</f>
        <v>7299999.9999999991</v>
      </c>
      <c r="M5" s="322" t="s">
        <v>26</v>
      </c>
      <c r="N5" s="290">
        <f>595000+119000+119000+119000+119000+119000+119000+49036330/412.07+53651150/450.85</f>
        <v>1547000</v>
      </c>
      <c r="O5" s="290">
        <f>652083.5+22907.49+9236384.2/412.07+9927717/450.85</f>
        <v>719425.58994661097</v>
      </c>
      <c r="P5" s="290">
        <f>L5-N5</f>
        <v>5752999.9999999991</v>
      </c>
      <c r="Q5" s="323" t="s">
        <v>430</v>
      </c>
      <c r="R5" s="324" t="s">
        <v>424</v>
      </c>
      <c r="S5" s="325" t="s">
        <v>496</v>
      </c>
      <c r="T5" s="270"/>
    </row>
    <row r="6" spans="1:20" ht="75.75" customHeight="1" outlineLevel="1" x14ac:dyDescent="0.25">
      <c r="A6" s="326"/>
      <c r="B6" s="275" t="s">
        <v>21</v>
      </c>
      <c r="C6" s="275" t="s">
        <v>28</v>
      </c>
      <c r="D6" s="317" t="s">
        <v>23</v>
      </c>
      <c r="E6" s="327"/>
      <c r="F6" s="319"/>
      <c r="G6" s="278" t="s">
        <v>423</v>
      </c>
      <c r="H6" s="328"/>
      <c r="I6" s="278" t="s">
        <v>29</v>
      </c>
      <c r="J6" s="329" t="s">
        <v>25</v>
      </c>
      <c r="K6" s="279">
        <v>7300000</v>
      </c>
      <c r="L6" s="279">
        <v>7299999.9999999981</v>
      </c>
      <c r="M6" s="330" t="s">
        <v>30</v>
      </c>
      <c r="N6" s="279">
        <f>5474999.9+304166.7+304166.7+304166.7+304166.7+304166.7+304167</f>
        <v>7300000.4000000013</v>
      </c>
      <c r="O6" s="279">
        <f>1226756+8356.16+4154.77</f>
        <v>1239266.93</v>
      </c>
      <c r="P6" s="279">
        <f t="shared" ref="P6:P35" si="0">L6-N6</f>
        <v>-0.40000000316649675</v>
      </c>
      <c r="Q6" s="282" t="s">
        <v>31</v>
      </c>
      <c r="R6" s="283" t="s">
        <v>485</v>
      </c>
      <c r="S6" s="325"/>
      <c r="T6" s="270"/>
    </row>
    <row r="7" spans="1:20" ht="79.5" customHeight="1" outlineLevel="1" x14ac:dyDescent="0.25">
      <c r="A7" s="274">
        <v>2</v>
      </c>
      <c r="B7" s="275" t="s">
        <v>21</v>
      </c>
      <c r="C7" s="275" t="s">
        <v>32</v>
      </c>
      <c r="D7" s="278" t="s">
        <v>23</v>
      </c>
      <c r="E7" s="278" t="s">
        <v>497</v>
      </c>
      <c r="F7" s="331" t="s">
        <v>431</v>
      </c>
      <c r="G7" s="278" t="s">
        <v>423</v>
      </c>
      <c r="H7" s="332" t="s">
        <v>284</v>
      </c>
      <c r="I7" s="278" t="s">
        <v>33</v>
      </c>
      <c r="J7" s="329" t="s">
        <v>25</v>
      </c>
      <c r="K7" s="279">
        <v>14060526.73</v>
      </c>
      <c r="L7" s="279">
        <v>14060526.73</v>
      </c>
      <c r="M7" s="280">
        <v>7.4999999999999997E-3</v>
      </c>
      <c r="N7" s="279">
        <f>5858552.73979552+234342.1+234342.1+98055764.9/418.43+98932204.4/422.17+104987604.2/448.01+97345708.3/415.4+96565349.2/412.07+105653180.9/450.85</f>
        <v>7733289.6399421981</v>
      </c>
      <c r="O7" s="279">
        <f>1294472.69934396+40254.3+39195.3+16095956/418.43+15796672.6/422.17+16433280.1/448.01+14866002.9/415.4+14315888.7/412.07+15267404.1/450.85</f>
        <v>1590880.4093953739</v>
      </c>
      <c r="P7" s="279">
        <f t="shared" si="0"/>
        <v>6327237.0900578024</v>
      </c>
      <c r="Q7" s="282" t="s">
        <v>27</v>
      </c>
      <c r="R7" s="283" t="s">
        <v>424</v>
      </c>
      <c r="S7" s="333" t="s">
        <v>498</v>
      </c>
      <c r="T7" s="270"/>
    </row>
    <row r="8" spans="1:20" ht="78.75" customHeight="1" outlineLevel="1" x14ac:dyDescent="0.25">
      <c r="A8" s="274">
        <v>3</v>
      </c>
      <c r="B8" s="275" t="s">
        <v>21</v>
      </c>
      <c r="C8" s="275" t="s">
        <v>34</v>
      </c>
      <c r="D8" s="278" t="s">
        <v>23</v>
      </c>
      <c r="E8" s="278" t="s">
        <v>499</v>
      </c>
      <c r="F8" s="332" t="s">
        <v>434</v>
      </c>
      <c r="G8" s="278" t="s">
        <v>423</v>
      </c>
      <c r="H8" s="334" t="s">
        <v>285</v>
      </c>
      <c r="I8" s="278" t="s">
        <v>35</v>
      </c>
      <c r="J8" s="329" t="s">
        <v>25</v>
      </c>
      <c r="K8" s="279">
        <v>75000000</v>
      </c>
      <c r="L8" s="279"/>
      <c r="M8" s="280" t="s">
        <v>36</v>
      </c>
      <c r="N8" s="279"/>
      <c r="O8" s="279">
        <f>1932812.5+93750+93750+93750+93750+42000937.5/448.01+38943750/415.4+38631562.5/412.07+42267187.5/450.85</f>
        <v>2682812.5</v>
      </c>
      <c r="P8" s="279">
        <f t="shared" si="0"/>
        <v>0</v>
      </c>
      <c r="Q8" s="282" t="s">
        <v>31</v>
      </c>
      <c r="R8" s="283" t="s">
        <v>424</v>
      </c>
      <c r="S8" s="333" t="s">
        <v>500</v>
      </c>
      <c r="T8" s="270"/>
    </row>
    <row r="9" spans="1:20" ht="81.75" customHeight="1" outlineLevel="1" x14ac:dyDescent="0.25">
      <c r="A9" s="335">
        <v>4</v>
      </c>
      <c r="B9" s="336" t="s">
        <v>21</v>
      </c>
      <c r="C9" s="337" t="s">
        <v>34</v>
      </c>
      <c r="D9" s="278" t="s">
        <v>23</v>
      </c>
      <c r="E9" s="318" t="s">
        <v>499</v>
      </c>
      <c r="F9" s="338" t="s">
        <v>434</v>
      </c>
      <c r="G9" s="278" t="s">
        <v>423</v>
      </c>
      <c r="H9" s="339" t="s">
        <v>285</v>
      </c>
      <c r="I9" s="318" t="s">
        <v>37</v>
      </c>
      <c r="J9" s="329" t="s">
        <v>25</v>
      </c>
      <c r="K9" s="279">
        <v>10200000</v>
      </c>
      <c r="L9" s="279">
        <v>1495514.27</v>
      </c>
      <c r="M9" s="340" t="s">
        <v>26</v>
      </c>
      <c r="N9" s="279">
        <f>10475995.7/450.85</f>
        <v>23236.100033270486</v>
      </c>
      <c r="O9" s="279">
        <f>200690.672577969+15587.2+6522152.1/418.43+6580448.3/422.17+6983221.5/448.01+6474922.9/415.4+6488083.3/412.07+7292543.9/450.85</f>
        <v>310546.87288404198</v>
      </c>
      <c r="P9" s="279">
        <f>L9-N9</f>
        <v>1472278.1699667296</v>
      </c>
      <c r="Q9" s="337" t="s">
        <v>31</v>
      </c>
      <c r="R9" s="283" t="s">
        <v>424</v>
      </c>
      <c r="S9" s="333" t="s">
        <v>501</v>
      </c>
      <c r="T9" s="270"/>
    </row>
    <row r="10" spans="1:20" ht="76.5" customHeight="1" outlineLevel="1" x14ac:dyDescent="0.25">
      <c r="A10" s="326"/>
      <c r="B10" s="336" t="s">
        <v>21</v>
      </c>
      <c r="C10" s="341"/>
      <c r="D10" s="278" t="s">
        <v>408</v>
      </c>
      <c r="E10" s="327"/>
      <c r="F10" s="320"/>
      <c r="G10" s="317" t="s">
        <v>425</v>
      </c>
      <c r="H10" s="342"/>
      <c r="I10" s="327"/>
      <c r="J10" s="329" t="s">
        <v>2</v>
      </c>
      <c r="K10" s="279">
        <f>257052669.9+29984200</f>
        <v>287036869.89999998</v>
      </c>
      <c r="L10" s="279">
        <v>282552669.89999998</v>
      </c>
      <c r="M10" s="340" t="s">
        <v>26</v>
      </c>
      <c r="N10" s="279">
        <v>4524211.2</v>
      </c>
      <c r="O10" s="279">
        <f>9774294.3+915305.4+915305.4+915305.4+915305.4+937784.6+1004562.4</f>
        <v>15377862.900000002</v>
      </c>
      <c r="P10" s="279">
        <f>L10-N10</f>
        <v>278028458.69999999</v>
      </c>
      <c r="Q10" s="341"/>
      <c r="R10" s="324" t="s">
        <v>424</v>
      </c>
      <c r="S10" s="294"/>
      <c r="T10" s="270"/>
    </row>
    <row r="11" spans="1:20" ht="76.5" customHeight="1" outlineLevel="1" x14ac:dyDescent="0.25">
      <c r="A11" s="335">
        <v>5</v>
      </c>
      <c r="B11" s="336" t="s">
        <v>21</v>
      </c>
      <c r="C11" s="337" t="s">
        <v>38</v>
      </c>
      <c r="D11" s="278" t="s">
        <v>118</v>
      </c>
      <c r="E11" s="318" t="s">
        <v>502</v>
      </c>
      <c r="F11" s="339" t="s">
        <v>435</v>
      </c>
      <c r="G11" s="278" t="s">
        <v>423</v>
      </c>
      <c r="H11" s="339" t="s">
        <v>286</v>
      </c>
      <c r="I11" s="318" t="s">
        <v>39</v>
      </c>
      <c r="J11" s="329" t="s">
        <v>25</v>
      </c>
      <c r="K11" s="279">
        <v>10000000</v>
      </c>
      <c r="L11" s="279"/>
      <c r="M11" s="340" t="s">
        <v>40</v>
      </c>
      <c r="N11" s="279"/>
      <c r="O11" s="279">
        <v>50000</v>
      </c>
      <c r="P11" s="279">
        <f>L11-N11</f>
        <v>0</v>
      </c>
      <c r="Q11" s="337" t="s">
        <v>41</v>
      </c>
      <c r="R11" s="283" t="s">
        <v>424</v>
      </c>
      <c r="S11" s="333" t="s">
        <v>503</v>
      </c>
      <c r="T11" s="270"/>
    </row>
    <row r="12" spans="1:20" ht="76.5" customHeight="1" outlineLevel="1" x14ac:dyDescent="0.25">
      <c r="A12" s="326"/>
      <c r="B12" s="336" t="s">
        <v>21</v>
      </c>
      <c r="C12" s="341"/>
      <c r="D12" s="278" t="s">
        <v>408</v>
      </c>
      <c r="E12" s="327"/>
      <c r="F12" s="342"/>
      <c r="G12" s="278" t="s">
        <v>425</v>
      </c>
      <c r="H12" s="342"/>
      <c r="I12" s="327"/>
      <c r="J12" s="278" t="s">
        <v>2</v>
      </c>
      <c r="K12" s="279"/>
      <c r="L12" s="279"/>
      <c r="M12" s="340" t="s">
        <v>40</v>
      </c>
      <c r="N12" s="279"/>
      <c r="O12" s="279"/>
      <c r="P12" s="279">
        <f t="shared" si="0"/>
        <v>0</v>
      </c>
      <c r="Q12" s="341"/>
      <c r="R12" s="324" t="s">
        <v>424</v>
      </c>
      <c r="S12" s="294"/>
      <c r="T12" s="270"/>
    </row>
    <row r="13" spans="1:20" ht="76.5" customHeight="1" outlineLevel="1" x14ac:dyDescent="0.25">
      <c r="A13" s="335">
        <v>6</v>
      </c>
      <c r="B13" s="336" t="s">
        <v>21</v>
      </c>
      <c r="C13" s="337" t="s">
        <v>42</v>
      </c>
      <c r="D13" s="278" t="s">
        <v>23</v>
      </c>
      <c r="E13" s="318" t="s">
        <v>462</v>
      </c>
      <c r="F13" s="339" t="s">
        <v>436</v>
      </c>
      <c r="G13" s="278" t="s">
        <v>423</v>
      </c>
      <c r="H13" s="339" t="s">
        <v>287</v>
      </c>
      <c r="I13" s="318" t="s">
        <v>43</v>
      </c>
      <c r="J13" s="329" t="s">
        <v>25</v>
      </c>
      <c r="K13" s="279">
        <v>83000000</v>
      </c>
      <c r="L13" s="279"/>
      <c r="M13" s="340" t="s">
        <v>409</v>
      </c>
      <c r="N13" s="279"/>
      <c r="O13" s="279">
        <f>1930326.40003794+103750+103750+103750+103750+46481037.5/448.01+43097750/415.4+42752262.5/412.07+46775687.5/450.85</f>
        <v>2760326.4000379397</v>
      </c>
      <c r="P13" s="279">
        <f t="shared" si="0"/>
        <v>0</v>
      </c>
      <c r="Q13" s="337" t="s">
        <v>31</v>
      </c>
      <c r="R13" s="283" t="s">
        <v>424</v>
      </c>
      <c r="S13" s="333" t="s">
        <v>504</v>
      </c>
      <c r="T13" s="270"/>
    </row>
    <row r="14" spans="1:20" ht="76.5" customHeight="1" outlineLevel="1" x14ac:dyDescent="0.25">
      <c r="A14" s="326"/>
      <c r="B14" s="336" t="s">
        <v>21</v>
      </c>
      <c r="C14" s="341"/>
      <c r="D14" s="278" t="s">
        <v>408</v>
      </c>
      <c r="E14" s="327"/>
      <c r="F14" s="342"/>
      <c r="G14" s="278" t="s">
        <v>425</v>
      </c>
      <c r="H14" s="342"/>
      <c r="I14" s="327"/>
      <c r="J14" s="278" t="s">
        <v>2</v>
      </c>
      <c r="K14" s="279"/>
      <c r="L14" s="279"/>
      <c r="M14" s="340" t="s">
        <v>409</v>
      </c>
      <c r="N14" s="279"/>
      <c r="O14" s="279"/>
      <c r="P14" s="279">
        <f t="shared" si="0"/>
        <v>0</v>
      </c>
      <c r="Q14" s="341"/>
      <c r="R14" s="324" t="s">
        <v>424</v>
      </c>
      <c r="S14" s="343" t="s">
        <v>505</v>
      </c>
      <c r="T14" s="270"/>
    </row>
    <row r="15" spans="1:20" ht="96.75" customHeight="1" outlineLevel="1" x14ac:dyDescent="0.25">
      <c r="A15" s="335">
        <v>7</v>
      </c>
      <c r="B15" s="336" t="s">
        <v>21</v>
      </c>
      <c r="C15" s="337" t="s">
        <v>44</v>
      </c>
      <c r="D15" s="318" t="s">
        <v>45</v>
      </c>
      <c r="E15" s="318" t="s">
        <v>506</v>
      </c>
      <c r="F15" s="339" t="s">
        <v>437</v>
      </c>
      <c r="G15" s="278" t="s">
        <v>423</v>
      </c>
      <c r="H15" s="339" t="s">
        <v>288</v>
      </c>
      <c r="I15" s="318" t="s">
        <v>46</v>
      </c>
      <c r="J15" s="329" t="s">
        <v>47</v>
      </c>
      <c r="K15" s="279">
        <f>35500000-1434414.8</f>
        <v>34065585.200000003</v>
      </c>
      <c r="L15" s="279">
        <v>34065585.200000003</v>
      </c>
      <c r="M15" s="344" t="s">
        <v>342</v>
      </c>
      <c r="N15" s="279">
        <f>3406558.5+438685248.4/386.33+457603003.3/402.99+440229555/387.69+440172817.8/387.64+440570211/387.99</f>
        <v>9084156.1006601229</v>
      </c>
      <c r="O15" s="279">
        <f>6927866.15+372600334/386.33+433310604.9/402.99+419066992.3/387.69+399479184.6/387.64+334484666/387.99</f>
        <v>11941137.550327882</v>
      </c>
      <c r="P15" s="279">
        <f t="shared" si="0"/>
        <v>24981429.09933988</v>
      </c>
      <c r="Q15" s="337" t="s">
        <v>48</v>
      </c>
      <c r="R15" s="283" t="s">
        <v>424</v>
      </c>
      <c r="S15" s="333" t="s">
        <v>507</v>
      </c>
      <c r="T15" s="270"/>
    </row>
    <row r="16" spans="1:20" ht="81.75" customHeight="1" outlineLevel="1" x14ac:dyDescent="0.25">
      <c r="A16" s="326"/>
      <c r="B16" s="336" t="s">
        <v>21</v>
      </c>
      <c r="C16" s="341"/>
      <c r="D16" s="327"/>
      <c r="E16" s="327"/>
      <c r="F16" s="342"/>
      <c r="G16" s="278" t="s">
        <v>425</v>
      </c>
      <c r="H16" s="342"/>
      <c r="I16" s="327"/>
      <c r="J16" s="278" t="s">
        <v>2</v>
      </c>
      <c r="K16" s="279">
        <v>3680136115.8000002</v>
      </c>
      <c r="L16" s="279">
        <v>3680136115.8000002</v>
      </c>
      <c r="M16" s="344" t="s">
        <v>342</v>
      </c>
      <c r="N16" s="279">
        <f>387003402.1+121967878.3+121967878.3+121967878.3+121967878.2+121967878.3</f>
        <v>996842793.5</v>
      </c>
      <c r="O16" s="279">
        <f>743758864.24+103594252.5+115493072.7+116104685.6+110692047.4+92599057</f>
        <v>1282241979.4400001</v>
      </c>
      <c r="P16" s="279">
        <f t="shared" si="0"/>
        <v>2683293322.3000002</v>
      </c>
      <c r="Q16" s="341"/>
      <c r="R16" s="324" t="s">
        <v>424</v>
      </c>
      <c r="S16" s="271" t="s">
        <v>508</v>
      </c>
      <c r="T16" s="270"/>
    </row>
    <row r="17" spans="1:19" s="270" customFormat="1" ht="66.75" customHeight="1" outlineLevel="1" x14ac:dyDescent="0.25">
      <c r="A17" s="335">
        <v>8</v>
      </c>
      <c r="B17" s="336" t="s">
        <v>21</v>
      </c>
      <c r="C17" s="337" t="s">
        <v>49</v>
      </c>
      <c r="D17" s="318" t="s">
        <v>45</v>
      </c>
      <c r="E17" s="318" t="s">
        <v>509</v>
      </c>
      <c r="F17" s="339" t="s">
        <v>438</v>
      </c>
      <c r="G17" s="278" t="s">
        <v>423</v>
      </c>
      <c r="H17" s="339" t="s">
        <v>289</v>
      </c>
      <c r="I17" s="339" t="s">
        <v>50</v>
      </c>
      <c r="J17" s="329" t="s">
        <v>47</v>
      </c>
      <c r="K17" s="345">
        <f>40000000-2500000-1500000</f>
        <v>36000000</v>
      </c>
      <c r="L17" s="279">
        <v>24556939.620000001</v>
      </c>
      <c r="M17" s="280" t="s">
        <v>342</v>
      </c>
      <c r="N17" s="279">
        <f>329635002.4/388.42+336424290.8/396.42</f>
        <v>1697312.3000877418</v>
      </c>
      <c r="O17" s="279">
        <f>4091306.45123489+373977422.6/403.57+376544951.9/388.42+344941572.7/396.42</f>
        <v>6857548.4512623288</v>
      </c>
      <c r="P17" s="279">
        <f t="shared" si="0"/>
        <v>22859627.319912259</v>
      </c>
      <c r="Q17" s="337" t="s">
        <v>48</v>
      </c>
      <c r="R17" s="283" t="s">
        <v>424</v>
      </c>
      <c r="S17" s="333" t="s">
        <v>510</v>
      </c>
    </row>
    <row r="18" spans="1:19" s="270" customFormat="1" ht="58.5" customHeight="1" outlineLevel="1" x14ac:dyDescent="0.25">
      <c r="A18" s="326"/>
      <c r="B18" s="336" t="s">
        <v>21</v>
      </c>
      <c r="C18" s="341"/>
      <c r="D18" s="327"/>
      <c r="E18" s="327"/>
      <c r="F18" s="342"/>
      <c r="G18" s="278" t="s">
        <v>425</v>
      </c>
      <c r="H18" s="342"/>
      <c r="I18" s="342"/>
      <c r="J18" s="278" t="s">
        <v>2</v>
      </c>
      <c r="K18" s="345">
        <v>1298785286.0000002</v>
      </c>
      <c r="L18" s="279">
        <v>1298785286.0000002</v>
      </c>
      <c r="M18" s="280" t="s">
        <v>342</v>
      </c>
      <c r="N18" s="279">
        <f>563212.2+43274069.1+43274069.2</f>
        <v>87111350.5</v>
      </c>
      <c r="O18" s="279">
        <f>165583419.3+41681454.8+49409773.1+44369647.7</f>
        <v>301044294.90000004</v>
      </c>
      <c r="P18" s="279">
        <f t="shared" si="0"/>
        <v>1211673935.5000002</v>
      </c>
      <c r="Q18" s="341"/>
      <c r="R18" s="324" t="s">
        <v>424</v>
      </c>
      <c r="S18" s="343" t="s">
        <v>511</v>
      </c>
    </row>
    <row r="19" spans="1:19" s="270" customFormat="1" ht="70.5" customHeight="1" outlineLevel="1" x14ac:dyDescent="0.25">
      <c r="A19" s="335">
        <v>9</v>
      </c>
      <c r="B19" s="346" t="s">
        <v>21</v>
      </c>
      <c r="C19" s="337" t="s">
        <v>51</v>
      </c>
      <c r="D19" s="318" t="s">
        <v>45</v>
      </c>
      <c r="E19" s="318" t="s">
        <v>512</v>
      </c>
      <c r="F19" s="328" t="s">
        <v>432</v>
      </c>
      <c r="G19" s="278" t="s">
        <v>423</v>
      </c>
      <c r="H19" s="319" t="s">
        <v>290</v>
      </c>
      <c r="I19" s="339" t="s">
        <v>52</v>
      </c>
      <c r="J19" s="329" t="s">
        <v>47</v>
      </c>
      <c r="K19" s="345">
        <f>23194486-5952356.52</f>
        <v>17242129.48</v>
      </c>
      <c r="L19" s="279">
        <v>17242129.98</v>
      </c>
      <c r="M19" s="340" t="s">
        <v>342</v>
      </c>
      <c r="N19" s="279">
        <v>0</v>
      </c>
      <c r="O19" s="279">
        <f>1316813.632+122778919.2/386.33+153358408.7/402.99+182294474.3/387.69+212998140.2/387.64+194009511/387.99</f>
        <v>3534891.7327723759</v>
      </c>
      <c r="P19" s="279">
        <f t="shared" si="0"/>
        <v>17242129.98</v>
      </c>
      <c r="Q19" s="337" t="s">
        <v>48</v>
      </c>
      <c r="R19" s="283" t="s">
        <v>424</v>
      </c>
      <c r="S19" s="343" t="s">
        <v>513</v>
      </c>
    </row>
    <row r="20" spans="1:19" s="270" customFormat="1" ht="66.75" customHeight="1" outlineLevel="1" x14ac:dyDescent="0.25">
      <c r="A20" s="326"/>
      <c r="B20" s="346" t="s">
        <v>21</v>
      </c>
      <c r="C20" s="347"/>
      <c r="D20" s="348"/>
      <c r="E20" s="348"/>
      <c r="F20" s="328"/>
      <c r="G20" s="278" t="s">
        <v>425</v>
      </c>
      <c r="H20" s="319"/>
      <c r="I20" s="342"/>
      <c r="J20" s="278" t="s">
        <v>2</v>
      </c>
      <c r="K20" s="345">
        <f>1973431541.9+126888600</f>
        <v>2100320141.9000001</v>
      </c>
      <c r="L20" s="279">
        <v>2024134238.8</v>
      </c>
      <c r="M20" s="340" t="s">
        <v>342</v>
      </c>
      <c r="N20" s="279">
        <v>91463799.799999997</v>
      </c>
      <c r="O20" s="279">
        <f>119885553.7+36155098.5+43333756.7+53344969.4+61110243.5+55330994.8</f>
        <v>369160616.59999996</v>
      </c>
      <c r="P20" s="279">
        <f t="shared" si="0"/>
        <v>1932670439</v>
      </c>
      <c r="Q20" s="341"/>
      <c r="R20" s="283" t="s">
        <v>424</v>
      </c>
      <c r="S20" s="271" t="s">
        <v>514</v>
      </c>
    </row>
    <row r="21" spans="1:19" s="270" customFormat="1" ht="48" customHeight="1" outlineLevel="1" x14ac:dyDescent="0.25">
      <c r="A21" s="335">
        <v>10</v>
      </c>
      <c r="B21" s="346" t="s">
        <v>53</v>
      </c>
      <c r="C21" s="347"/>
      <c r="D21" s="348"/>
      <c r="E21" s="348"/>
      <c r="F21" s="328"/>
      <c r="G21" s="278" t="s">
        <v>423</v>
      </c>
      <c r="H21" s="339" t="s">
        <v>291</v>
      </c>
      <c r="I21" s="339" t="s">
        <v>52</v>
      </c>
      <c r="J21" s="329" t="s">
        <v>47</v>
      </c>
      <c r="K21" s="279">
        <v>16662617.070000002</v>
      </c>
      <c r="L21" s="279">
        <v>16662617.070000002</v>
      </c>
      <c r="M21" s="340" t="s">
        <v>342</v>
      </c>
      <c r="N21" s="279"/>
      <c r="O21" s="279">
        <f>2194958+182027405/386.38+218562808/403.19+223111756.9/387.69+221137804.8/387.64+(90660885.5+100000000)/388.08</f>
        <v>4845406.6394110024</v>
      </c>
      <c r="P21" s="279">
        <f t="shared" si="0"/>
        <v>16662617.070000002</v>
      </c>
      <c r="Q21" s="337" t="s">
        <v>48</v>
      </c>
      <c r="R21" s="275" t="s">
        <v>424</v>
      </c>
      <c r="S21" s="333" t="s">
        <v>515</v>
      </c>
    </row>
    <row r="22" spans="1:19" s="270" customFormat="1" ht="54.75" customHeight="1" outlineLevel="1" x14ac:dyDescent="0.25">
      <c r="A22" s="326"/>
      <c r="B22" s="346" t="s">
        <v>53</v>
      </c>
      <c r="C22" s="341"/>
      <c r="D22" s="327"/>
      <c r="E22" s="327"/>
      <c r="F22" s="328"/>
      <c r="G22" s="278" t="s">
        <v>425</v>
      </c>
      <c r="H22" s="342"/>
      <c r="I22" s="342"/>
      <c r="J22" s="329" t="s">
        <v>2</v>
      </c>
      <c r="K22" s="279">
        <v>2003005775.2</v>
      </c>
      <c r="L22" s="279">
        <v>2003005775.2</v>
      </c>
      <c r="M22" s="340" t="s">
        <v>342</v>
      </c>
      <c r="N22" s="279"/>
      <c r="O22" s="279">
        <f>238604865.8+56631905+65163658.9+69156989.1+68598623.2+59071780.3</f>
        <v>557227822.29999995</v>
      </c>
      <c r="P22" s="279">
        <f t="shared" si="0"/>
        <v>2003005775.2</v>
      </c>
      <c r="Q22" s="341"/>
      <c r="R22" s="275" t="s">
        <v>424</v>
      </c>
      <c r="S22" s="271" t="s">
        <v>516</v>
      </c>
    </row>
    <row r="23" spans="1:19" s="270" customFormat="1" ht="54.75" customHeight="1" outlineLevel="1" x14ac:dyDescent="0.25">
      <c r="A23" s="349"/>
      <c r="B23" s="336" t="s">
        <v>21</v>
      </c>
      <c r="C23" s="337" t="s">
        <v>481</v>
      </c>
      <c r="D23" s="318" t="s">
        <v>45</v>
      </c>
      <c r="E23" s="318" t="s">
        <v>517</v>
      </c>
      <c r="F23" s="338" t="s">
        <v>482</v>
      </c>
      <c r="G23" s="278" t="s">
        <v>423</v>
      </c>
      <c r="H23" s="339" t="s">
        <v>483</v>
      </c>
      <c r="I23" s="338" t="s">
        <v>483</v>
      </c>
      <c r="J23" s="329" t="s">
        <v>47</v>
      </c>
      <c r="K23" s="345">
        <v>40000000</v>
      </c>
      <c r="L23" s="279">
        <v>100000</v>
      </c>
      <c r="M23" s="340" t="s">
        <v>342</v>
      </c>
      <c r="N23" s="279"/>
      <c r="O23" s="279">
        <f>30438715.8/384.14</f>
        <v>79238.599989587135</v>
      </c>
      <c r="P23" s="279">
        <f t="shared" si="0"/>
        <v>100000</v>
      </c>
      <c r="Q23" s="337" t="s">
        <v>48</v>
      </c>
      <c r="R23" s="275" t="s">
        <v>424</v>
      </c>
      <c r="S23" s="333" t="s">
        <v>518</v>
      </c>
    </row>
    <row r="24" spans="1:19" s="270" customFormat="1" ht="54.75" customHeight="1" outlineLevel="1" x14ac:dyDescent="0.25">
      <c r="A24" s="349"/>
      <c r="B24" s="336" t="s">
        <v>21</v>
      </c>
      <c r="C24" s="341"/>
      <c r="D24" s="327"/>
      <c r="E24" s="327"/>
      <c r="F24" s="320"/>
      <c r="G24" s="278" t="s">
        <v>425</v>
      </c>
      <c r="H24" s="342"/>
      <c r="I24" s="320"/>
      <c r="J24" s="329" t="s">
        <v>2</v>
      </c>
      <c r="K24" s="345"/>
      <c r="L24" s="279"/>
      <c r="M24" s="340" t="s">
        <v>342</v>
      </c>
      <c r="N24" s="279"/>
      <c r="O24" s="279"/>
      <c r="P24" s="279">
        <f t="shared" si="0"/>
        <v>0</v>
      </c>
      <c r="Q24" s="341"/>
      <c r="R24" s="275" t="s">
        <v>424</v>
      </c>
      <c r="S24" s="271"/>
    </row>
    <row r="25" spans="1:19" s="270" customFormat="1" ht="57.75" customHeight="1" outlineLevel="1" x14ac:dyDescent="0.25">
      <c r="A25" s="335">
        <v>11</v>
      </c>
      <c r="B25" s="346" t="s">
        <v>21</v>
      </c>
      <c r="C25" s="337" t="s">
        <v>54</v>
      </c>
      <c r="D25" s="318" t="s">
        <v>55</v>
      </c>
      <c r="E25" s="318" t="s">
        <v>519</v>
      </c>
      <c r="F25" s="328" t="s">
        <v>439</v>
      </c>
      <c r="G25" s="278" t="s">
        <v>423</v>
      </c>
      <c r="H25" s="339" t="s">
        <v>289</v>
      </c>
      <c r="I25" s="318" t="s">
        <v>56</v>
      </c>
      <c r="J25" s="329" t="s">
        <v>57</v>
      </c>
      <c r="K25" s="350">
        <v>13988153</v>
      </c>
      <c r="L25" s="279">
        <v>8262785.6411363389</v>
      </c>
      <c r="M25" s="340">
        <v>3.1399999999999997E-2</v>
      </c>
      <c r="N25" s="279">
        <f>1430873.60020494+107795234.9/520.68+109739226/530.07+105995907.4/511.99+105780752.2/510.95+107921470/521.29</f>
        <v>2466011.8009147597</v>
      </c>
      <c r="O25" s="279">
        <f>1219413.93+55848657.5/520.68+55104222/530.07+51579050.2/511.99+49822785.6/510.95+49136587/521.29</f>
        <v>1723143.4304005392</v>
      </c>
      <c r="P25" s="279">
        <f t="shared" si="0"/>
        <v>5796773.8402215792</v>
      </c>
      <c r="Q25" s="337" t="s">
        <v>48</v>
      </c>
      <c r="R25" s="283" t="s">
        <v>424</v>
      </c>
      <c r="S25" s="343" t="s">
        <v>520</v>
      </c>
    </row>
    <row r="26" spans="1:19" s="270" customFormat="1" ht="59.25" customHeight="1" outlineLevel="1" x14ac:dyDescent="0.25">
      <c r="A26" s="326"/>
      <c r="B26" s="346" t="s">
        <v>21</v>
      </c>
      <c r="C26" s="347"/>
      <c r="D26" s="348"/>
      <c r="E26" s="348"/>
      <c r="F26" s="328"/>
      <c r="G26" s="278" t="s">
        <v>425</v>
      </c>
      <c r="H26" s="342"/>
      <c r="I26" s="327"/>
      <c r="J26" s="278" t="s">
        <v>2</v>
      </c>
      <c r="K26" s="351">
        <v>1194787815</v>
      </c>
      <c r="L26" s="279">
        <v>1194787815</v>
      </c>
      <c r="M26" s="340">
        <v>3.1399999999999997E-2</v>
      </c>
      <c r="N26" s="279">
        <f>209123295.3+29868621.8+29868621.8+29868621.8+29868621.8+29868621.8</f>
        <v>358466404.30000007</v>
      </c>
      <c r="O26" s="279">
        <f>177460224.6+15474933+14998180+14534453+14068120.9+13599183.5</f>
        <v>250135095</v>
      </c>
      <c r="P26" s="279">
        <f t="shared" si="0"/>
        <v>836321410.69999993</v>
      </c>
      <c r="Q26" s="341"/>
      <c r="R26" s="283" t="s">
        <v>424</v>
      </c>
      <c r="S26" s="271"/>
    </row>
    <row r="27" spans="1:19" s="270" customFormat="1" ht="51.75" customHeight="1" outlineLevel="1" x14ac:dyDescent="0.25">
      <c r="A27" s="335">
        <v>12</v>
      </c>
      <c r="B27" s="346" t="s">
        <v>58</v>
      </c>
      <c r="C27" s="347"/>
      <c r="D27" s="348"/>
      <c r="E27" s="348"/>
      <c r="F27" s="328"/>
      <c r="G27" s="278" t="s">
        <v>423</v>
      </c>
      <c r="H27" s="339" t="s">
        <v>292</v>
      </c>
      <c r="I27" s="318" t="s">
        <v>56</v>
      </c>
      <c r="J27" s="329" t="s">
        <v>57</v>
      </c>
      <c r="K27" s="350">
        <v>10098535</v>
      </c>
      <c r="L27" s="279">
        <v>10121386.37101347</v>
      </c>
      <c r="M27" s="340">
        <v>3.1399999999999997E-2</v>
      </c>
      <c r="N27" s="279">
        <f>1520990.1+136750579/520.29+138244588/530.59+133398381/511.99+133127359/510.95+135821484/521.29</f>
        <v>2826020.5051234914</v>
      </c>
      <c r="O27" s="279">
        <f>832426.027338+83294453/525+70252782/520.29+69454072/530.59+64924992/511.99+62703018/510.95+61839486/521.29</f>
        <v>1625163.4322333978</v>
      </c>
      <c r="P27" s="279">
        <f t="shared" si="0"/>
        <v>7295365.8658899786</v>
      </c>
      <c r="Q27" s="337" t="s">
        <v>48</v>
      </c>
      <c r="R27" s="283" t="s">
        <v>424</v>
      </c>
      <c r="S27" s="271" t="s">
        <v>521</v>
      </c>
    </row>
    <row r="28" spans="1:19" s="270" customFormat="1" ht="47.25" customHeight="1" outlineLevel="1" x14ac:dyDescent="0.25">
      <c r="A28" s="326"/>
      <c r="B28" s="346" t="s">
        <v>58</v>
      </c>
      <c r="C28" s="341"/>
      <c r="D28" s="327"/>
      <c r="E28" s="327"/>
      <c r="F28" s="328"/>
      <c r="G28" s="278" t="s">
        <v>425</v>
      </c>
      <c r="H28" s="342"/>
      <c r="I28" s="327"/>
      <c r="J28" s="278" t="s">
        <v>2</v>
      </c>
      <c r="K28" s="351">
        <v>794162455.89999998</v>
      </c>
      <c r="L28" s="279">
        <v>794162455.89999998</v>
      </c>
      <c r="M28" s="340">
        <v>3.1399999999999997E-2</v>
      </c>
      <c r="N28" s="279">
        <f>123592049.7+20623615+20310837+20310837+20310838+20310838</f>
        <v>225459014.69999999</v>
      </c>
      <c r="O28" s="279">
        <f>78534680.8+10527955+10204165+9885285+9566405+9247523</f>
        <v>127966013.8</v>
      </c>
      <c r="P28" s="279">
        <f t="shared" si="0"/>
        <v>568703441.20000005</v>
      </c>
      <c r="Q28" s="341"/>
      <c r="R28" s="283" t="s">
        <v>424</v>
      </c>
      <c r="S28" s="271"/>
    </row>
    <row r="29" spans="1:19" s="270" customFormat="1" ht="48" customHeight="1" outlineLevel="1" x14ac:dyDescent="0.25">
      <c r="A29" s="274">
        <v>13</v>
      </c>
      <c r="B29" s="352" t="s">
        <v>21</v>
      </c>
      <c r="C29" s="337" t="s">
        <v>59</v>
      </c>
      <c r="D29" s="318" t="s">
        <v>60</v>
      </c>
      <c r="E29" s="318" t="s">
        <v>522</v>
      </c>
      <c r="F29" s="338" t="s">
        <v>440</v>
      </c>
      <c r="G29" s="278" t="s">
        <v>423</v>
      </c>
      <c r="H29" s="334" t="s">
        <v>293</v>
      </c>
      <c r="I29" s="278" t="s">
        <v>61</v>
      </c>
      <c r="J29" s="329" t="s">
        <v>47</v>
      </c>
      <c r="K29" s="279">
        <v>19600000</v>
      </c>
      <c r="L29" s="279">
        <v>19419334.870000001</v>
      </c>
      <c r="M29" s="353">
        <v>5.0000000000000001E-3</v>
      </c>
      <c r="N29" s="279">
        <f>9716960.66852489+189584407.5/488.5+172026989.7/443.26+153375144/395.2+150045288.9/386.62+156421689.8/403.05+150324717.3/387.34+155746404.5/401.31+148935337.2/383.76</f>
        <v>12821720.668773536</v>
      </c>
      <c r="O29" s="279">
        <f>1129921.93024286+16077756.3/488.5+14096288.6/443.26+12233850.7/395.2+11546870.2/386.62+11574265.9/403.05+10860006.5/387.34+10861254.5/401.31+9984322.3/383.76</f>
        <v>1365293.8301567538</v>
      </c>
      <c r="P29" s="279">
        <f t="shared" si="0"/>
        <v>6597614.2012264654</v>
      </c>
      <c r="Q29" s="282" t="s">
        <v>48</v>
      </c>
      <c r="R29" s="283" t="s">
        <v>424</v>
      </c>
      <c r="S29" s="271" t="s">
        <v>523</v>
      </c>
    </row>
    <row r="30" spans="1:19" s="270" customFormat="1" ht="60" customHeight="1" outlineLevel="1" x14ac:dyDescent="0.25">
      <c r="A30" s="274">
        <v>14</v>
      </c>
      <c r="B30" s="352" t="s">
        <v>58</v>
      </c>
      <c r="C30" s="341"/>
      <c r="D30" s="327"/>
      <c r="E30" s="327"/>
      <c r="F30" s="320"/>
      <c r="G30" s="278" t="s">
        <v>423</v>
      </c>
      <c r="H30" s="334" t="s">
        <v>294</v>
      </c>
      <c r="I30" s="278" t="s">
        <v>62</v>
      </c>
      <c r="J30" s="329" t="s">
        <v>47</v>
      </c>
      <c r="K30" s="279">
        <v>297276.53999999998</v>
      </c>
      <c r="L30" s="279">
        <v>297276.53999999998</v>
      </c>
      <c r="M30" s="280" t="s">
        <v>63</v>
      </c>
      <c r="N30" s="279">
        <f>257638.543537781+4361667/440.15+3916234/395.2+3837157/387.22+3994520/403.1</f>
        <v>297276.54625526333</v>
      </c>
      <c r="O30" s="279">
        <f>229541.53251276+1912186/489.99+1556591/440.15+1259898/395.2+1094284/387.22+991707/403.1</f>
        <v>245454.73643449965</v>
      </c>
      <c r="P30" s="279">
        <f t="shared" si="0"/>
        <v>-6.255263346247375E-3</v>
      </c>
      <c r="Q30" s="282" t="s">
        <v>48</v>
      </c>
      <c r="R30" s="283" t="s">
        <v>424</v>
      </c>
      <c r="S30" s="271" t="s">
        <v>524</v>
      </c>
    </row>
    <row r="31" spans="1:19" s="270" customFormat="1" ht="51" customHeight="1" outlineLevel="1" x14ac:dyDescent="0.25">
      <c r="A31" s="274">
        <v>15</v>
      </c>
      <c r="B31" s="352" t="s">
        <v>58</v>
      </c>
      <c r="C31" s="354" t="s">
        <v>64</v>
      </c>
      <c r="D31" s="318" t="s">
        <v>65</v>
      </c>
      <c r="E31" s="318" t="s">
        <v>525</v>
      </c>
      <c r="F31" s="338" t="s">
        <v>441</v>
      </c>
      <c r="G31" s="278" t="s">
        <v>423</v>
      </c>
      <c r="H31" s="334" t="s">
        <v>295</v>
      </c>
      <c r="I31" s="278" t="s">
        <v>66</v>
      </c>
      <c r="J31" s="278" t="s">
        <v>67</v>
      </c>
      <c r="K31" s="279">
        <v>1571940173.3299999</v>
      </c>
      <c r="L31" s="279">
        <v>1598519063</v>
      </c>
      <c r="M31" s="353">
        <v>1.7999999999999999E-2</v>
      </c>
      <c r="N31" s="279">
        <f>1030178646.5+123394332/3.026+109815247/2.693+110426917/2.708+107613234/2.639+106349114/2.608</f>
        <v>1234068819.1163616</v>
      </c>
      <c r="O31" s="279">
        <f>226837831.925937+13873556/3.026+11211247/2.693+10505503/2.708+9205948/2.639+8278004/2.608</f>
        <v>246127659.34121844</v>
      </c>
      <c r="P31" s="279">
        <f t="shared" si="0"/>
        <v>364450243.88363838</v>
      </c>
      <c r="Q31" s="282" t="s">
        <v>48</v>
      </c>
      <c r="R31" s="283" t="s">
        <v>424</v>
      </c>
      <c r="S31" s="271" t="s">
        <v>526</v>
      </c>
    </row>
    <row r="32" spans="1:19" s="270" customFormat="1" ht="41.25" customHeight="1" outlineLevel="1" x14ac:dyDescent="0.25">
      <c r="A32" s="274">
        <v>16</v>
      </c>
      <c r="B32" s="275" t="s">
        <v>68</v>
      </c>
      <c r="C32" s="355"/>
      <c r="D32" s="327"/>
      <c r="E32" s="327"/>
      <c r="F32" s="320"/>
      <c r="G32" s="278" t="s">
        <v>423</v>
      </c>
      <c r="H32" s="334" t="s">
        <v>296</v>
      </c>
      <c r="I32" s="278" t="s">
        <v>66</v>
      </c>
      <c r="J32" s="278" t="s">
        <v>67</v>
      </c>
      <c r="K32" s="279">
        <v>3796371795.6700001</v>
      </c>
      <c r="L32" s="279">
        <v>3861444249</v>
      </c>
      <c r="M32" s="353">
        <v>1.7999999999999999E-2</v>
      </c>
      <c r="N32" s="279">
        <f>2513837447.56+291897058.6/3.026+259774877.3/2.693+261800600/2.714+254469412/2.638+251575521.7/2.608</f>
        <v>2996152481.4054999</v>
      </c>
      <c r="O32" s="279">
        <f>553224853.256799+32762341/3.026+26475306.9/2.693+24863667/2.714+21767387/2.638+19619296.3/2.608</f>
        <v>598818429.94730222</v>
      </c>
      <c r="P32" s="279">
        <f t="shared" si="0"/>
        <v>865291767.59450006</v>
      </c>
      <c r="Q32" s="282" t="s">
        <v>48</v>
      </c>
      <c r="R32" s="283" t="s">
        <v>424</v>
      </c>
      <c r="S32" s="271" t="s">
        <v>527</v>
      </c>
    </row>
    <row r="33" spans="1:20" s="270" customFormat="1" ht="69" customHeight="1" outlineLevel="1" x14ac:dyDescent="0.25">
      <c r="A33" s="335">
        <v>17</v>
      </c>
      <c r="B33" s="354" t="s">
        <v>69</v>
      </c>
      <c r="C33" s="337" t="s">
        <v>453</v>
      </c>
      <c r="D33" s="318" t="s">
        <v>60</v>
      </c>
      <c r="E33" s="318" t="s">
        <v>528</v>
      </c>
      <c r="F33" s="338" t="s">
        <v>442</v>
      </c>
      <c r="G33" s="278" t="s">
        <v>423</v>
      </c>
      <c r="H33" s="339" t="s">
        <v>297</v>
      </c>
      <c r="I33" s="318" t="s">
        <v>70</v>
      </c>
      <c r="J33" s="329" t="s">
        <v>47</v>
      </c>
      <c r="K33" s="279">
        <v>4846628.13</v>
      </c>
      <c r="L33" s="279">
        <v>4737831.22</v>
      </c>
      <c r="M33" s="280">
        <v>7.4999999999999997E-3</v>
      </c>
      <c r="N33" s="279">
        <f>616176.07+18729201/386.44+19508050/402.51+18791723/387.73+18767489/387.23+18866844.5/389.29</f>
        <v>858504.82745814102</v>
      </c>
      <c r="O33" s="279">
        <f>353441.51+5923430/386.44+6198654/402.51+5835491.6/387.73+5820648/387.23+5685901.5/389.29</f>
        <v>428857.43640006101</v>
      </c>
      <c r="P33" s="279">
        <f t="shared" si="0"/>
        <v>3879326.3925418588</v>
      </c>
      <c r="Q33" s="282" t="s">
        <v>71</v>
      </c>
      <c r="R33" s="283" t="s">
        <v>424</v>
      </c>
      <c r="S33" s="272"/>
    </row>
    <row r="34" spans="1:20" s="270" customFormat="1" ht="69" customHeight="1" outlineLevel="1" x14ac:dyDescent="0.25">
      <c r="A34" s="326"/>
      <c r="B34" s="355"/>
      <c r="C34" s="341"/>
      <c r="D34" s="327"/>
      <c r="E34" s="327"/>
      <c r="F34" s="320"/>
      <c r="G34" s="278" t="s">
        <v>425</v>
      </c>
      <c r="H34" s="342"/>
      <c r="I34" s="327"/>
      <c r="J34" s="278" t="s">
        <v>2</v>
      </c>
      <c r="K34" s="279">
        <v>1740568345.9000001</v>
      </c>
      <c r="L34" s="279">
        <v>1740568345.9000001</v>
      </c>
      <c r="M34" s="280">
        <v>7.4999999999999997E-3</v>
      </c>
      <c r="N34" s="279">
        <f>247100359+17402579+17402579+17402579+17402579+17402579</f>
        <v>334113254</v>
      </c>
      <c r="O34" s="279">
        <f>128165336.87+5554115.8+5580740.4+5454641.8+5448433.2+5294865</f>
        <v>155498133.06999999</v>
      </c>
      <c r="P34" s="279">
        <f t="shared" si="0"/>
        <v>1406455091.9000001</v>
      </c>
      <c r="Q34" s="282" t="s">
        <v>71</v>
      </c>
      <c r="R34" s="283" t="s">
        <v>424</v>
      </c>
      <c r="S34" s="272"/>
    </row>
    <row r="35" spans="1:20" ht="87" customHeight="1" outlineLevel="1" x14ac:dyDescent="0.25">
      <c r="A35" s="274">
        <v>18</v>
      </c>
      <c r="B35" s="352" t="s">
        <v>72</v>
      </c>
      <c r="C35" s="275" t="s">
        <v>73</v>
      </c>
      <c r="D35" s="278" t="s">
        <v>23</v>
      </c>
      <c r="E35" s="334" t="s">
        <v>529</v>
      </c>
      <c r="F35" s="334" t="s">
        <v>530</v>
      </c>
      <c r="G35" s="278" t="s">
        <v>423</v>
      </c>
      <c r="H35" s="334" t="s">
        <v>298</v>
      </c>
      <c r="I35" s="334" t="s">
        <v>74</v>
      </c>
      <c r="J35" s="329" t="s">
        <v>25</v>
      </c>
      <c r="K35" s="356">
        <v>17895215.550000001</v>
      </c>
      <c r="L35" s="279">
        <v>17895215.550000001</v>
      </c>
      <c r="M35" s="280">
        <v>7.4999999999999997E-3</v>
      </c>
      <c r="N35" s="279">
        <v>9318294.104163751</v>
      </c>
      <c r="O35" s="279">
        <f>2568161.28+12471869/415.04+3320320/414.34+16171473.8/438.74+15002335.6/420.29+14025433/406.4+14522542.1/435.58</f>
        <v>2746630.7955871872</v>
      </c>
      <c r="P35" s="279">
        <f t="shared" si="0"/>
        <v>8576921.4458362497</v>
      </c>
      <c r="Q35" s="282" t="s">
        <v>48</v>
      </c>
      <c r="R35" s="283" t="s">
        <v>424</v>
      </c>
      <c r="S35" s="272"/>
      <c r="T35" s="270"/>
    </row>
    <row r="36" spans="1:20" ht="55.5" customHeight="1" outlineLevel="1" x14ac:dyDescent="0.25">
      <c r="A36" s="335">
        <v>19</v>
      </c>
      <c r="B36" s="346" t="s">
        <v>75</v>
      </c>
      <c r="C36" s="337" t="s">
        <v>531</v>
      </c>
      <c r="D36" s="337" t="s">
        <v>263</v>
      </c>
      <c r="E36" s="337" t="s">
        <v>532</v>
      </c>
      <c r="F36" s="337" t="s">
        <v>443</v>
      </c>
      <c r="G36" s="275" t="s">
        <v>423</v>
      </c>
      <c r="H36" s="337" t="s">
        <v>299</v>
      </c>
      <c r="I36" s="275" t="s">
        <v>76</v>
      </c>
      <c r="J36" s="329" t="s">
        <v>25</v>
      </c>
      <c r="K36" s="357">
        <v>22000000</v>
      </c>
      <c r="L36" s="279">
        <v>21247150.510000002</v>
      </c>
      <c r="M36" s="358" t="s">
        <v>77</v>
      </c>
      <c r="N36" s="279">
        <f>1047000+1047000+1047000+1047000+1047000+1047000+1047000+1047000+1048000+1048000</f>
        <v>10472000</v>
      </c>
      <c r="O36" s="279">
        <f>2375876.3+237670.2+221556.87+203731.2</f>
        <v>3038834.5700000003</v>
      </c>
      <c r="P36" s="279">
        <f>K36-N36</f>
        <v>11528000</v>
      </c>
      <c r="Q36" s="337" t="s">
        <v>397</v>
      </c>
      <c r="R36" s="283" t="s">
        <v>424</v>
      </c>
      <c r="S36" s="272"/>
      <c r="T36" s="270"/>
    </row>
    <row r="37" spans="1:20" ht="68.25" customHeight="1" outlineLevel="1" x14ac:dyDescent="0.25">
      <c r="A37" s="316"/>
      <c r="B37" s="346" t="s">
        <v>75</v>
      </c>
      <c r="C37" s="347"/>
      <c r="D37" s="347"/>
      <c r="E37" s="347"/>
      <c r="F37" s="347"/>
      <c r="G37" s="275" t="s">
        <v>423</v>
      </c>
      <c r="H37" s="347"/>
      <c r="I37" s="275" t="s">
        <v>79</v>
      </c>
      <c r="J37" s="329" t="s">
        <v>25</v>
      </c>
      <c r="K37" s="357">
        <v>14500000</v>
      </c>
      <c r="L37" s="279">
        <v>14491281.059999999</v>
      </c>
      <c r="M37" s="358" t="s">
        <v>26</v>
      </c>
      <c r="N37" s="279">
        <f>241000+241000+241000+241000+241000+241000+241000+241000+241000+241000</f>
        <v>2410000</v>
      </c>
      <c r="O37" s="279">
        <f>628643.7+48048.75+47190.19+46241.25</f>
        <v>770123.8899999999</v>
      </c>
      <c r="P37" s="279">
        <f>K37-N37</f>
        <v>12090000</v>
      </c>
      <c r="Q37" s="347"/>
      <c r="R37" s="283" t="s">
        <v>424</v>
      </c>
      <c r="S37" s="272"/>
      <c r="T37" s="270"/>
    </row>
    <row r="38" spans="1:20" ht="62.25" customHeight="1" outlineLevel="1" x14ac:dyDescent="0.25">
      <c r="A38" s="326"/>
      <c r="B38" s="346" t="s">
        <v>75</v>
      </c>
      <c r="C38" s="341"/>
      <c r="D38" s="341"/>
      <c r="E38" s="341"/>
      <c r="F38" s="341"/>
      <c r="G38" s="275" t="s">
        <v>423</v>
      </c>
      <c r="H38" s="341"/>
      <c r="I38" s="275" t="s">
        <v>80</v>
      </c>
      <c r="J38" s="329" t="s">
        <v>25</v>
      </c>
      <c r="K38" s="357">
        <v>14500000</v>
      </c>
      <c r="L38" s="279">
        <v>14500000.000000002</v>
      </c>
      <c r="M38" s="358" t="s">
        <v>81</v>
      </c>
      <c r="N38" s="279">
        <v>6300000</v>
      </c>
      <c r="O38" s="279">
        <f>62877.81+2336020+207340.05+195524.74+181898.05</f>
        <v>2983660.6499999994</v>
      </c>
      <c r="P38" s="279">
        <f>K38-N38</f>
        <v>8200000</v>
      </c>
      <c r="Q38" s="341"/>
      <c r="R38" s="283" t="s">
        <v>424</v>
      </c>
      <c r="S38" s="272"/>
      <c r="T38" s="270"/>
    </row>
    <row r="39" spans="1:20" ht="94.5" customHeight="1" outlineLevel="1" x14ac:dyDescent="0.25">
      <c r="A39" s="274">
        <v>20</v>
      </c>
      <c r="B39" s="275" t="s">
        <v>82</v>
      </c>
      <c r="C39" s="352" t="s">
        <v>83</v>
      </c>
      <c r="D39" s="278" t="s">
        <v>65</v>
      </c>
      <c r="E39" s="278" t="s">
        <v>533</v>
      </c>
      <c r="F39" s="278" t="s">
        <v>444</v>
      </c>
      <c r="G39" s="278" t="s">
        <v>423</v>
      </c>
      <c r="H39" s="334" t="s">
        <v>300</v>
      </c>
      <c r="I39" s="278" t="s">
        <v>84</v>
      </c>
      <c r="J39" s="278" t="s">
        <v>67</v>
      </c>
      <c r="K39" s="359">
        <v>26409000000</v>
      </c>
      <c r="L39" s="279">
        <v>26399286331</v>
      </c>
      <c r="M39" s="280">
        <v>7.4999999999999997E-3</v>
      </c>
      <c r="N39" s="279">
        <f>7357230331.16835+1131704010/2.615+1153775484/2.666+(500000000+500000000+175414184)/2.716+(131098126.4+500000000+500000000)/2.6131</f>
        <v>9088409139.7099285</v>
      </c>
      <c r="O39" s="279">
        <f>2607354309.06995+188428717.2/2.615+185536580.8/2.666+186649331.7/2.716+172476969.8/2.6136</f>
        <v>2883719042.4936247</v>
      </c>
      <c r="P39" s="281">
        <f t="shared" ref="P39:P50" si="1">L39-N39</f>
        <v>17310877191.29007</v>
      </c>
      <c r="Q39" s="282" t="s">
        <v>85</v>
      </c>
      <c r="R39" s="283" t="s">
        <v>424</v>
      </c>
      <c r="S39" s="272"/>
      <c r="T39" s="270"/>
    </row>
    <row r="40" spans="1:20" ht="86.25" customHeight="1" outlineLevel="1" x14ac:dyDescent="0.25">
      <c r="A40" s="274">
        <v>21</v>
      </c>
      <c r="B40" s="352" t="s">
        <v>21</v>
      </c>
      <c r="C40" s="275" t="s">
        <v>86</v>
      </c>
      <c r="D40" s="275" t="s">
        <v>87</v>
      </c>
      <c r="E40" s="275" t="s">
        <v>445</v>
      </c>
      <c r="F40" s="275" t="s">
        <v>534</v>
      </c>
      <c r="G40" s="275" t="s">
        <v>423</v>
      </c>
      <c r="H40" s="334" t="s">
        <v>301</v>
      </c>
      <c r="I40" s="278" t="s">
        <v>88</v>
      </c>
      <c r="J40" s="329" t="s">
        <v>47</v>
      </c>
      <c r="K40" s="279">
        <v>8988290</v>
      </c>
      <c r="L40" s="279">
        <v>8988290</v>
      </c>
      <c r="M40" s="353">
        <v>5.0000000000000001E-3</v>
      </c>
      <c r="N40" s="279">
        <f>4199999.97+600000+600000+289644000/482.74+290820000/484.7+286458000/477.43+600000+600000+231939215.4/394.26</f>
        <v>8988289.9699999988</v>
      </c>
      <c r="O40" s="279">
        <f>838542.942447016+522591.6/394.26</f>
        <v>839868.44237092405</v>
      </c>
      <c r="P40" s="281">
        <f t="shared" si="1"/>
        <v>3.0000001192092896E-2</v>
      </c>
      <c r="Q40" s="282" t="s">
        <v>71</v>
      </c>
      <c r="R40" s="283" t="s">
        <v>424</v>
      </c>
      <c r="S40" s="272"/>
      <c r="T40" s="270"/>
    </row>
    <row r="41" spans="1:20" ht="86.25" customHeight="1" outlineLevel="1" x14ac:dyDescent="0.25">
      <c r="A41" s="274"/>
      <c r="B41" s="354" t="s">
        <v>21</v>
      </c>
      <c r="C41" s="337" t="s">
        <v>535</v>
      </c>
      <c r="D41" s="318" t="s">
        <v>408</v>
      </c>
      <c r="E41" s="337" t="s">
        <v>536</v>
      </c>
      <c r="F41" s="360" t="s">
        <v>459</v>
      </c>
      <c r="G41" s="336" t="s">
        <v>399</v>
      </c>
      <c r="H41" s="334"/>
      <c r="I41" s="278" t="s">
        <v>478</v>
      </c>
      <c r="J41" s="288" t="s">
        <v>2</v>
      </c>
      <c r="K41" s="350">
        <v>1035000000</v>
      </c>
      <c r="L41" s="351">
        <f>1035000000-80500000</f>
        <v>954500000</v>
      </c>
      <c r="M41" s="361">
        <v>9.8613000000000006E-2</v>
      </c>
      <c r="N41" s="279"/>
      <c r="O41" s="279"/>
      <c r="P41" s="281">
        <f t="shared" si="1"/>
        <v>954500000</v>
      </c>
      <c r="Q41" s="282" t="s">
        <v>71</v>
      </c>
      <c r="R41" s="283" t="s">
        <v>424</v>
      </c>
      <c r="S41" s="272"/>
      <c r="T41" s="270"/>
    </row>
    <row r="42" spans="1:20" ht="86.25" customHeight="1" outlineLevel="1" x14ac:dyDescent="0.25">
      <c r="A42" s="274"/>
      <c r="B42" s="355"/>
      <c r="C42" s="341"/>
      <c r="D42" s="327"/>
      <c r="E42" s="341"/>
      <c r="F42" s="362"/>
      <c r="G42" s="336" t="s">
        <v>399</v>
      </c>
      <c r="H42" s="334"/>
      <c r="I42" s="278"/>
      <c r="J42" s="288" t="s">
        <v>2</v>
      </c>
      <c r="K42" s="351">
        <v>1035000000</v>
      </c>
      <c r="L42" s="351"/>
      <c r="M42" s="353"/>
      <c r="N42" s="279"/>
      <c r="O42" s="279"/>
      <c r="P42" s="281">
        <f t="shared" si="1"/>
        <v>0</v>
      </c>
      <c r="Q42" s="282" t="s">
        <v>71</v>
      </c>
      <c r="R42" s="283" t="s">
        <v>424</v>
      </c>
      <c r="S42" s="272"/>
      <c r="T42" s="270"/>
    </row>
    <row r="43" spans="1:20" ht="100.5" customHeight="1" outlineLevel="1" x14ac:dyDescent="0.25">
      <c r="A43" s="274">
        <v>22</v>
      </c>
      <c r="B43" s="352" t="s">
        <v>89</v>
      </c>
      <c r="C43" s="275" t="s">
        <v>86</v>
      </c>
      <c r="D43" s="275" t="s">
        <v>90</v>
      </c>
      <c r="E43" s="275" t="s">
        <v>537</v>
      </c>
      <c r="F43" s="275" t="s">
        <v>446</v>
      </c>
      <c r="G43" s="275" t="s">
        <v>423</v>
      </c>
      <c r="H43" s="363" t="s">
        <v>302</v>
      </c>
      <c r="I43" s="279" t="s">
        <v>91</v>
      </c>
      <c r="J43" s="364" t="s">
        <v>2</v>
      </c>
      <c r="K43" s="279">
        <v>1757100000</v>
      </c>
      <c r="L43" s="279">
        <v>1757100000</v>
      </c>
      <c r="M43" s="280">
        <v>7.4999999999999997E-3</v>
      </c>
      <c r="N43" s="279">
        <f>439275000+62753571.5+62753571.5+62753571.3+62753571.4+62753571.4+62753571.4+62753571.5+62753571.5+62753571.5+62753571.3</f>
        <v>1066810714.2999998</v>
      </c>
      <c r="O43" s="279">
        <f>303383430.5+3313904.4+3032802.7+3076644.3+2814884.5+2839384.2+2567308.8</f>
        <v>321028359.39999998</v>
      </c>
      <c r="P43" s="281">
        <f t="shared" si="1"/>
        <v>690289285.70000017</v>
      </c>
      <c r="Q43" s="282" t="s">
        <v>71</v>
      </c>
      <c r="R43" s="283" t="s">
        <v>424</v>
      </c>
      <c r="S43" s="272"/>
      <c r="T43" s="270"/>
    </row>
    <row r="44" spans="1:20" ht="82.5" customHeight="1" outlineLevel="1" x14ac:dyDescent="0.25">
      <c r="A44" s="365">
        <v>23</v>
      </c>
      <c r="B44" s="352" t="s">
        <v>89</v>
      </c>
      <c r="C44" s="337" t="s">
        <v>538</v>
      </c>
      <c r="D44" s="275" t="s">
        <v>408</v>
      </c>
      <c r="E44" s="275" t="s">
        <v>92</v>
      </c>
      <c r="F44" s="363" t="s">
        <v>539</v>
      </c>
      <c r="G44" s="275" t="s">
        <v>399</v>
      </c>
      <c r="H44" s="363"/>
      <c r="I44" s="279" t="s">
        <v>93</v>
      </c>
      <c r="J44" s="364" t="s">
        <v>2</v>
      </c>
      <c r="K44" s="279">
        <v>18700000000</v>
      </c>
      <c r="L44" s="279">
        <v>18700000000</v>
      </c>
      <c r="M44" s="340">
        <v>7.4999999999999997E-2</v>
      </c>
      <c r="N44" s="279">
        <f>890476190.5+890476190.5+890476190.5+890476190.5+890476190.5+890476190.5+890476190.5</f>
        <v>6233333333.5</v>
      </c>
      <c r="O44" s="279">
        <f>1333335616.4+703171232.9+699328767.1+670052837.5+632909002+602718199.6+569233855.2+535749511+499520548</f>
        <v>6246019569.6999998</v>
      </c>
      <c r="P44" s="281">
        <f>L44-N44</f>
        <v>12466666666.5</v>
      </c>
      <c r="Q44" s="282" t="s">
        <v>71</v>
      </c>
      <c r="R44" s="283" t="s">
        <v>424</v>
      </c>
      <c r="S44" s="272"/>
      <c r="T44" s="270"/>
    </row>
    <row r="45" spans="1:20" ht="63.75" customHeight="1" outlineLevel="1" x14ac:dyDescent="0.25">
      <c r="A45" s="365">
        <v>24</v>
      </c>
      <c r="B45" s="352" t="s">
        <v>89</v>
      </c>
      <c r="C45" s="347"/>
      <c r="D45" s="275" t="s">
        <v>408</v>
      </c>
      <c r="E45" s="336" t="s">
        <v>264</v>
      </c>
      <c r="F45" s="363" t="s">
        <v>433</v>
      </c>
      <c r="G45" s="275" t="s">
        <v>399</v>
      </c>
      <c r="H45" s="363"/>
      <c r="I45" s="279" t="s">
        <v>253</v>
      </c>
      <c r="J45" s="364" t="s">
        <v>2</v>
      </c>
      <c r="K45" s="279">
        <v>25000000000</v>
      </c>
      <c r="L45" s="279">
        <v>25000000000</v>
      </c>
      <c r="M45" s="340">
        <v>0.09</v>
      </c>
      <c r="N45" s="279">
        <f>1190476190.4+1190476190.5+1190476190.5+1190476190.5+1190476190.5</f>
        <v>5952380952.3999996</v>
      </c>
      <c r="O45" s="279">
        <f>1171232876.7+1121917808.3+1128082191.8+1121917808.2+1074363992.2+1020645792.6+966927593+908219178.1</f>
        <v>8513307240.9000006</v>
      </c>
      <c r="P45" s="281">
        <f t="shared" si="1"/>
        <v>19047619047.599998</v>
      </c>
      <c r="Q45" s="282" t="s">
        <v>71</v>
      </c>
      <c r="R45" s="283" t="s">
        <v>424</v>
      </c>
      <c r="S45" s="272"/>
      <c r="T45" s="270"/>
    </row>
    <row r="46" spans="1:20" ht="82.5" customHeight="1" outlineLevel="1" x14ac:dyDescent="0.25">
      <c r="A46" s="365"/>
      <c r="B46" s="352" t="s">
        <v>89</v>
      </c>
      <c r="C46" s="341"/>
      <c r="D46" s="275" t="s">
        <v>408</v>
      </c>
      <c r="E46" s="275" t="s">
        <v>479</v>
      </c>
      <c r="F46" s="363" t="s">
        <v>540</v>
      </c>
      <c r="G46" s="275" t="s">
        <v>399</v>
      </c>
      <c r="H46" s="363"/>
      <c r="I46" s="279" t="s">
        <v>460</v>
      </c>
      <c r="J46" s="364" t="s">
        <v>2</v>
      </c>
      <c r="K46" s="279">
        <v>5965000000</v>
      </c>
      <c r="L46" s="279">
        <v>5965000000</v>
      </c>
      <c r="M46" s="366">
        <v>9.8608000000000001E-2</v>
      </c>
      <c r="N46" s="279"/>
      <c r="O46" s="279">
        <f>24172468+293292611.1</f>
        <v>317465079.10000002</v>
      </c>
      <c r="P46" s="281">
        <f>L46-N46</f>
        <v>5965000000</v>
      </c>
      <c r="Q46" s="282" t="s">
        <v>71</v>
      </c>
      <c r="R46" s="283" t="s">
        <v>424</v>
      </c>
      <c r="S46" s="272"/>
      <c r="T46" s="270"/>
    </row>
    <row r="47" spans="1:20" ht="78.75" customHeight="1" outlineLevel="1" x14ac:dyDescent="0.25">
      <c r="A47" s="335">
        <v>25</v>
      </c>
      <c r="B47" s="346" t="s">
        <v>89</v>
      </c>
      <c r="C47" s="337" t="s">
        <v>94</v>
      </c>
      <c r="D47" s="278" t="s">
        <v>410</v>
      </c>
      <c r="E47" s="318" t="s">
        <v>462</v>
      </c>
      <c r="F47" s="337" t="s">
        <v>447</v>
      </c>
      <c r="G47" s="278" t="s">
        <v>423</v>
      </c>
      <c r="H47" s="339" t="s">
        <v>303</v>
      </c>
      <c r="I47" s="367" t="s">
        <v>95</v>
      </c>
      <c r="J47" s="329" t="s">
        <v>47</v>
      </c>
      <c r="K47" s="350">
        <v>270000000</v>
      </c>
      <c r="L47" s="279">
        <v>170663629.05000004</v>
      </c>
      <c r="M47" s="368">
        <v>0.03</v>
      </c>
      <c r="N47" s="279">
        <f>51199088.7002228+3370009369.8/394.93+3295429324.9/386.19+3461143748.2/405.61+3310959715/388.01+(1000000000+1424393078.3+962000000)/396.85+(1775205685+1500000000)/383.82</f>
        <v>102398177.40044892</v>
      </c>
      <c r="O47" s="279">
        <f>20309911.275649+723428666.7/394.93+646453366.1/386.19+636850451.3/405.61+552378447/388.01+519246953.2/396.85+444609181.3/383.82</f>
        <v>29276151.675588869</v>
      </c>
      <c r="P47" s="281">
        <f t="shared" si="1"/>
        <v>68265451.649551123</v>
      </c>
      <c r="Q47" s="337" t="s">
        <v>78</v>
      </c>
      <c r="R47" s="275" t="s">
        <v>424</v>
      </c>
      <c r="S47" s="272"/>
      <c r="T47" s="270"/>
    </row>
    <row r="48" spans="1:20" ht="81.75" customHeight="1" outlineLevel="1" x14ac:dyDescent="0.25">
      <c r="A48" s="326"/>
      <c r="B48" s="346" t="s">
        <v>89</v>
      </c>
      <c r="C48" s="341"/>
      <c r="D48" s="275" t="s">
        <v>408</v>
      </c>
      <c r="E48" s="327"/>
      <c r="F48" s="341"/>
      <c r="G48" s="275" t="s">
        <v>425</v>
      </c>
      <c r="H48" s="342"/>
      <c r="I48" s="369"/>
      <c r="J48" s="364" t="s">
        <v>2</v>
      </c>
      <c r="K48" s="351">
        <v>9618030955</v>
      </c>
      <c r="L48" s="279">
        <f>9509488626+108542329</f>
        <v>9618030955</v>
      </c>
      <c r="M48" s="368">
        <v>0.03</v>
      </c>
      <c r="N48" s="279">
        <f>2858334735.47632+482835444.3+482835444.2+482835444.3+482835444.2+482835444.3+482835444.2</f>
        <v>5755347400.9763193</v>
      </c>
      <c r="O48" s="279">
        <f>1045375895.11175+103648675.3+94716219.7+88841721.7+80553046.6+74034768.1+65544911.6</f>
        <v>1552715238.1117499</v>
      </c>
      <c r="P48" s="281">
        <f t="shared" si="1"/>
        <v>3862683554.0236807</v>
      </c>
      <c r="Q48" s="341"/>
      <c r="R48" s="275" t="s">
        <v>424</v>
      </c>
      <c r="S48" s="272"/>
      <c r="T48" s="270"/>
    </row>
    <row r="49" spans="1:20" ht="79.5" customHeight="1" outlineLevel="1" x14ac:dyDescent="0.25">
      <c r="A49" s="274">
        <v>26</v>
      </c>
      <c r="B49" s="352" t="s">
        <v>89</v>
      </c>
      <c r="C49" s="275" t="s">
        <v>96</v>
      </c>
      <c r="D49" s="318" t="s">
        <v>45</v>
      </c>
      <c r="E49" s="318" t="s">
        <v>462</v>
      </c>
      <c r="F49" s="337" t="s">
        <v>448</v>
      </c>
      <c r="G49" s="317" t="s">
        <v>423</v>
      </c>
      <c r="H49" s="370" t="s">
        <v>304</v>
      </c>
      <c r="I49" s="290" t="s">
        <v>97</v>
      </c>
      <c r="J49" s="321" t="s">
        <v>47</v>
      </c>
      <c r="K49" s="350">
        <v>8907500</v>
      </c>
      <c r="L49" s="279">
        <v>8907384.7100000009</v>
      </c>
      <c r="M49" s="340" t="s">
        <v>343</v>
      </c>
      <c r="N49" s="279"/>
      <c r="O49" s="279">
        <f>1241236.45+96159781.6/386.38+118034920.8/403.19+119269571.9/387.69+118214384.3/387.64+101922179.5/387.99</f>
        <v>2658156.2501905067</v>
      </c>
      <c r="P49" s="371">
        <f t="shared" si="1"/>
        <v>8907384.7100000009</v>
      </c>
      <c r="Q49" s="291" t="s">
        <v>98</v>
      </c>
      <c r="R49" s="292" t="s">
        <v>424</v>
      </c>
      <c r="S49" s="272"/>
      <c r="T49" s="270"/>
    </row>
    <row r="50" spans="1:20" ht="116.25" customHeight="1" outlineLevel="1" thickBot="1" x14ac:dyDescent="0.3">
      <c r="A50" s="274">
        <v>27</v>
      </c>
      <c r="B50" s="276" t="s">
        <v>82</v>
      </c>
      <c r="C50" s="372" t="s">
        <v>96</v>
      </c>
      <c r="D50" s="373"/>
      <c r="E50" s="373"/>
      <c r="F50" s="341"/>
      <c r="G50" s="317" t="s">
        <v>423</v>
      </c>
      <c r="H50" s="370" t="s">
        <v>305</v>
      </c>
      <c r="I50" s="374" t="s">
        <v>97</v>
      </c>
      <c r="J50" s="375" t="s">
        <v>47</v>
      </c>
      <c r="K50" s="376">
        <v>21092500</v>
      </c>
      <c r="L50" s="279">
        <v>21092210.790000003</v>
      </c>
      <c r="M50" s="377" t="s">
        <v>343</v>
      </c>
      <c r="N50" s="279"/>
      <c r="O50" s="279">
        <f>3081286.01+227668040/386.38+279535083/403.19+282423985/387.69+(79661738.3+200263572)/387.64+241346347.2/388.08</f>
        <v>6436332.4246180505</v>
      </c>
      <c r="P50" s="378">
        <f t="shared" si="1"/>
        <v>21092210.790000003</v>
      </c>
      <c r="Q50" s="291" t="s">
        <v>99</v>
      </c>
      <c r="R50" s="379" t="s">
        <v>424</v>
      </c>
      <c r="S50" s="272"/>
      <c r="T50" s="270"/>
    </row>
    <row r="51" spans="1:20" s="295" customFormat="1" ht="15" customHeight="1" x14ac:dyDescent="0.25">
      <c r="A51" s="380" t="s">
        <v>107</v>
      </c>
      <c r="B51" s="381"/>
      <c r="C51" s="382"/>
      <c r="D51" s="383"/>
      <c r="E51" s="383"/>
      <c r="F51" s="383"/>
      <c r="G51" s="383"/>
      <c r="H51" s="383"/>
      <c r="I51" s="383"/>
      <c r="J51" s="383" t="s">
        <v>25</v>
      </c>
      <c r="K51" s="296">
        <f>SUMIF($J$5:$J$50,J51,$K$5:$K$50)</f>
        <v>275755742.28000003</v>
      </c>
      <c r="L51" s="296">
        <f>SUMIF($J$5:$J$50,J51,$L$5:$L$50)</f>
        <v>98289688.120000005</v>
      </c>
      <c r="M51" s="296"/>
      <c r="N51" s="296">
        <f>SUMIF($J$5:$J$50,J51,$N$5:$N$50)</f>
        <v>45103820.244139224</v>
      </c>
      <c r="O51" s="296">
        <f>SUMIF($J$5:$J$50,J51,$O$5:$O$50)</f>
        <v>18892508.607851155</v>
      </c>
      <c r="P51" s="296">
        <f>SUMIF($J$5:$J$50,J51,$P$5:$P$50)</f>
        <v>53947436.30586078</v>
      </c>
      <c r="Q51" s="384"/>
      <c r="R51" s="385"/>
      <c r="S51" s="272"/>
      <c r="T51" s="270"/>
    </row>
    <row r="52" spans="1:20" s="295" customFormat="1" ht="15" customHeight="1" x14ac:dyDescent="0.25">
      <c r="A52" s="386"/>
      <c r="B52" s="387"/>
      <c r="C52" s="388"/>
      <c r="D52" s="389"/>
      <c r="E52" s="389"/>
      <c r="F52" s="389"/>
      <c r="G52" s="389"/>
      <c r="H52" s="389"/>
      <c r="I52" s="389"/>
      <c r="J52" s="389" t="s">
        <v>2</v>
      </c>
      <c r="K52" s="297">
        <f>SUMIF($J$5:$J$50,J52,$K$5:$K$50)</f>
        <v>76208933760.600006</v>
      </c>
      <c r="L52" s="297">
        <f>SUMIF($J$5:$J$50,J52,$L$5:$L$50)</f>
        <v>75012763657.5</v>
      </c>
      <c r="M52" s="297"/>
      <c r="N52" s="297">
        <f>SUMIF($J$5:$J$50,J52,$N$5:$N$50)</f>
        <v>21105853229.176319</v>
      </c>
      <c r="O52" s="297">
        <f>SUMIF($J$5:$J$50,J52,$O$5:$O$50)</f>
        <v>20009187305.221752</v>
      </c>
      <c r="P52" s="297">
        <f>SUMIF($J$5:$J$50,J52,$P$5:$P$50)</f>
        <v>53906910428.323685</v>
      </c>
      <c r="Q52" s="390"/>
      <c r="R52" s="391"/>
      <c r="S52" s="272"/>
      <c r="T52" s="270"/>
    </row>
    <row r="53" spans="1:20" s="295" customFormat="1" ht="15" customHeight="1" x14ac:dyDescent="0.25">
      <c r="A53" s="386"/>
      <c r="B53" s="387"/>
      <c r="C53" s="388"/>
      <c r="D53" s="389"/>
      <c r="E53" s="389"/>
      <c r="F53" s="389"/>
      <c r="G53" s="389"/>
      <c r="H53" s="389"/>
      <c r="I53" s="389"/>
      <c r="J53" s="389" t="s">
        <v>47</v>
      </c>
      <c r="K53" s="297">
        <f>SUMIF($J$5:$J$50,J53,$K$5:$K$50)</f>
        <v>477702526.41999996</v>
      </c>
      <c r="L53" s="297">
        <f>SUMIF($J$5:$J$50,J53,$L$5:$L$50)</f>
        <v>326733229.05000007</v>
      </c>
      <c r="M53" s="297"/>
      <c r="N53" s="297">
        <f>SUMIF($J$5:$J$50,J53,$N$5:$N$50)</f>
        <v>136145437.81368372</v>
      </c>
      <c r="O53" s="297">
        <f>SUMIF($J$5:$J$50,J53,$O$5:$O$50)</f>
        <v>68508337.769522846</v>
      </c>
      <c r="P53" s="297">
        <f>SUMIF($J$5:$J$50,J53,$P$5:$P$50)</f>
        <v>190587791.23631632</v>
      </c>
      <c r="Q53" s="390"/>
      <c r="R53" s="391"/>
      <c r="S53" s="272"/>
      <c r="T53" s="270"/>
    </row>
    <row r="54" spans="1:20" s="295" customFormat="1" ht="15" customHeight="1" x14ac:dyDescent="0.25">
      <c r="A54" s="386"/>
      <c r="B54" s="387"/>
      <c r="C54" s="388"/>
      <c r="D54" s="392"/>
      <c r="E54" s="392"/>
      <c r="F54" s="392"/>
      <c r="G54" s="392"/>
      <c r="H54" s="392"/>
      <c r="I54" s="392"/>
      <c r="J54" s="392" t="s">
        <v>67</v>
      </c>
      <c r="K54" s="393">
        <f>SUMIF($J$5:$J$50,J54,$K$5:$K$50)</f>
        <v>31777311969</v>
      </c>
      <c r="L54" s="393">
        <f>SUMIF($J$5:$J$50,J54,$L$5:$L$50)</f>
        <v>31859249643</v>
      </c>
      <c r="M54" s="393"/>
      <c r="N54" s="393">
        <f>SUMIF($J$5:$J$50,J54,$N$5:$N$50)</f>
        <v>13318630440.231791</v>
      </c>
      <c r="O54" s="393">
        <f>SUMIF($J$5:$J$50,J54,$O$5:$O$50)</f>
        <v>3728665131.7821455</v>
      </c>
      <c r="P54" s="393">
        <f>SUMIF($J$5:$J$50,J54,$P$5:$P$50)</f>
        <v>18540619202.768208</v>
      </c>
      <c r="Q54" s="394"/>
      <c r="R54" s="395"/>
      <c r="S54" s="272"/>
      <c r="T54" s="270"/>
    </row>
    <row r="55" spans="1:20" s="295" customFormat="1" ht="15" customHeight="1" thickBot="1" x14ac:dyDescent="0.3">
      <c r="A55" s="396"/>
      <c r="B55" s="397"/>
      <c r="C55" s="398"/>
      <c r="D55" s="399"/>
      <c r="E55" s="399"/>
      <c r="F55" s="399"/>
      <c r="G55" s="399"/>
      <c r="H55" s="400"/>
      <c r="I55" s="401"/>
      <c r="J55" s="402" t="s">
        <v>57</v>
      </c>
      <c r="K55" s="298">
        <f>SUMIF($J$5:$J$50,J55,$K$5:$K$50)</f>
        <v>24086688</v>
      </c>
      <c r="L55" s="298">
        <f>SUMIF($J$5:$J$50,J55,$L$5:$L$50)</f>
        <v>18384172.012149811</v>
      </c>
      <c r="M55" s="298"/>
      <c r="N55" s="298">
        <f>SUMIF($J$5:$J$50,J55,$N$5:$N$50)</f>
        <v>5292032.3060382511</v>
      </c>
      <c r="O55" s="298">
        <f>SUMIF($J$5:$J$50,J55,$O$5:$O$50)</f>
        <v>3348306.862633937</v>
      </c>
      <c r="P55" s="298">
        <f>SUMIF($J$5:$J$50,J55,$P$5:$P$50)</f>
        <v>13092139.706111558</v>
      </c>
      <c r="Q55" s="403"/>
      <c r="R55" s="404"/>
      <c r="S55" s="272"/>
      <c r="T55" s="270"/>
    </row>
    <row r="56" spans="1:20" ht="96.75" customHeight="1" outlineLevel="1" x14ac:dyDescent="0.25">
      <c r="A56" s="405">
        <v>28</v>
      </c>
      <c r="B56" s="406" t="s">
        <v>108</v>
      </c>
      <c r="C56" s="276" t="s">
        <v>109</v>
      </c>
      <c r="D56" s="317" t="s">
        <v>110</v>
      </c>
      <c r="E56" s="317" t="s">
        <v>462</v>
      </c>
      <c r="F56" s="370" t="s">
        <v>449</v>
      </c>
      <c r="G56" s="317" t="s">
        <v>423</v>
      </c>
      <c r="H56" s="370" t="s">
        <v>306</v>
      </c>
      <c r="I56" s="370" t="s">
        <v>111</v>
      </c>
      <c r="J56" s="321" t="s">
        <v>25</v>
      </c>
      <c r="K56" s="290">
        <v>5000000</v>
      </c>
      <c r="L56" s="290">
        <v>5000000</v>
      </c>
      <c r="M56" s="407" t="s">
        <v>112</v>
      </c>
      <c r="N56" s="290">
        <f>4166666.69+208333.33+88124985.9/423+87866652.7/421.76+87864653.7/421.75</f>
        <v>5000000.1203959631</v>
      </c>
      <c r="O56" s="290">
        <v>583240</v>
      </c>
      <c r="P56" s="290">
        <f t="shared" ref="P56:P61" si="2">L56-N56</f>
        <v>-0.12039596308022738</v>
      </c>
      <c r="Q56" s="323" t="s">
        <v>71</v>
      </c>
      <c r="R56" s="324" t="s">
        <v>485</v>
      </c>
      <c r="T56" s="270"/>
    </row>
    <row r="57" spans="1:20" ht="86.25" customHeight="1" outlineLevel="1" x14ac:dyDescent="0.25">
      <c r="A57" s="365">
        <v>29</v>
      </c>
      <c r="B57" s="346" t="s">
        <v>113</v>
      </c>
      <c r="C57" s="275" t="s">
        <v>114</v>
      </c>
      <c r="D57" s="408" t="s">
        <v>110</v>
      </c>
      <c r="E57" s="318" t="s">
        <v>462</v>
      </c>
      <c r="F57" s="339" t="s">
        <v>450</v>
      </c>
      <c r="G57" s="408" t="s">
        <v>423</v>
      </c>
      <c r="H57" s="339" t="s">
        <v>307</v>
      </c>
      <c r="I57" s="339" t="s">
        <v>115</v>
      </c>
      <c r="J57" s="329" t="s">
        <v>25</v>
      </c>
      <c r="K57" s="279">
        <v>5000000</v>
      </c>
      <c r="L57" s="279">
        <v>5000000</v>
      </c>
      <c r="M57" s="340" t="s">
        <v>112</v>
      </c>
      <c r="N57" s="279">
        <f>3125000+208333.33+88124985.9/423+87866652.7/421.76+87864569.3/421.75+92314568.6/443.11</f>
        <v>4166666.530360911</v>
      </c>
      <c r="O57" s="279">
        <f>427171.1+9524250.7/443.11</f>
        <v>448665.20011058199</v>
      </c>
      <c r="P57" s="279">
        <f t="shared" si="2"/>
        <v>833333.46963908896</v>
      </c>
      <c r="Q57" s="337" t="s">
        <v>71</v>
      </c>
      <c r="R57" s="275" t="s">
        <v>424</v>
      </c>
      <c r="T57" s="270"/>
    </row>
    <row r="58" spans="1:20" ht="84.75" customHeight="1" outlineLevel="1" x14ac:dyDescent="0.25">
      <c r="A58" s="365">
        <v>30</v>
      </c>
      <c r="B58" s="346" t="s">
        <v>113</v>
      </c>
      <c r="C58" s="276" t="s">
        <v>541</v>
      </c>
      <c r="D58" s="408" t="s">
        <v>408</v>
      </c>
      <c r="E58" s="327"/>
      <c r="F58" s="342"/>
      <c r="G58" s="408" t="s">
        <v>425</v>
      </c>
      <c r="H58" s="342"/>
      <c r="I58" s="342"/>
      <c r="J58" s="409" t="s">
        <v>2</v>
      </c>
      <c r="K58" s="279">
        <v>66094595</v>
      </c>
      <c r="L58" s="279">
        <v>66094595</v>
      </c>
      <c r="M58" s="340" t="s">
        <v>112</v>
      </c>
      <c r="N58" s="279">
        <f>6609471.44+6609433.4+6609473.7+6609459.5+6609459.5+6609459.5</f>
        <v>39656757.039999999</v>
      </c>
      <c r="O58" s="279">
        <f>4464832.29773529+681909</f>
        <v>5146741.2977352897</v>
      </c>
      <c r="P58" s="279">
        <f t="shared" si="2"/>
        <v>26437837.960000001</v>
      </c>
      <c r="Q58" s="341"/>
      <c r="R58" s="275" t="s">
        <v>424</v>
      </c>
      <c r="T58" s="270"/>
    </row>
    <row r="59" spans="1:20" ht="89.25" customHeight="1" outlineLevel="1" x14ac:dyDescent="0.25">
      <c r="A59" s="274">
        <v>31</v>
      </c>
      <c r="B59" s="352" t="s">
        <v>116</v>
      </c>
      <c r="C59" s="275" t="s">
        <v>117</v>
      </c>
      <c r="D59" s="278" t="s">
        <v>118</v>
      </c>
      <c r="E59" s="278" t="s">
        <v>462</v>
      </c>
      <c r="F59" s="334" t="s">
        <v>451</v>
      </c>
      <c r="G59" s="278" t="s">
        <v>423</v>
      </c>
      <c r="H59" s="334" t="s">
        <v>308</v>
      </c>
      <c r="I59" s="334" t="s">
        <v>119</v>
      </c>
      <c r="J59" s="329" t="s">
        <v>25</v>
      </c>
      <c r="K59" s="279">
        <v>5000000</v>
      </c>
      <c r="L59" s="279">
        <v>5000000</v>
      </c>
      <c r="M59" s="280" t="s">
        <v>112</v>
      </c>
      <c r="N59" s="279">
        <f>3227272.74+97124988.4/427.35+96136352.1/423+95854533.9/421.76+95852303.4/421.75+100706806.1/443.11</f>
        <v>4363636.3400121778</v>
      </c>
      <c r="O59" s="279">
        <v>550222</v>
      </c>
      <c r="P59" s="279">
        <f t="shared" si="2"/>
        <v>636363.65998782218</v>
      </c>
      <c r="Q59" s="282" t="s">
        <v>71</v>
      </c>
      <c r="R59" s="283" t="s">
        <v>424</v>
      </c>
      <c r="T59" s="270"/>
    </row>
    <row r="60" spans="1:20" ht="57" customHeight="1" outlineLevel="1" x14ac:dyDescent="0.25">
      <c r="A60" s="335">
        <v>32</v>
      </c>
      <c r="B60" s="346" t="s">
        <v>120</v>
      </c>
      <c r="C60" s="337" t="s">
        <v>121</v>
      </c>
      <c r="D60" s="408" t="s">
        <v>118</v>
      </c>
      <c r="E60" s="318" t="s">
        <v>462</v>
      </c>
      <c r="F60" s="334" t="s">
        <v>452</v>
      </c>
      <c r="G60" s="408" t="s">
        <v>423</v>
      </c>
      <c r="H60" s="410" t="s">
        <v>309</v>
      </c>
      <c r="I60" s="410" t="s">
        <v>122</v>
      </c>
      <c r="J60" s="409" t="s">
        <v>25</v>
      </c>
      <c r="K60" s="411">
        <v>5000000</v>
      </c>
      <c r="L60" s="279">
        <f>3000000+2000000</f>
        <v>5000000</v>
      </c>
      <c r="M60" s="412" t="s">
        <v>265</v>
      </c>
      <c r="N60" s="279">
        <f>676724.137931034+46797420.6/423+46660236.7/421.76+46659130.4/421.75+49022234.1/443.11</f>
        <v>1119252.9380211914</v>
      </c>
      <c r="O60" s="279">
        <f>264937.427195312+21845766.1/443.11</f>
        <v>314238.42717274424</v>
      </c>
      <c r="P60" s="411">
        <f t="shared" si="2"/>
        <v>3880747.0619788086</v>
      </c>
      <c r="Q60" s="337" t="s">
        <v>71</v>
      </c>
      <c r="R60" s="283" t="s">
        <v>424</v>
      </c>
      <c r="T60" s="270"/>
    </row>
    <row r="61" spans="1:20" ht="57" customHeight="1" outlineLevel="1" thickBot="1" x14ac:dyDescent="0.3">
      <c r="A61" s="413"/>
      <c r="B61" s="346" t="s">
        <v>120</v>
      </c>
      <c r="C61" s="414"/>
      <c r="D61" s="408" t="s">
        <v>408</v>
      </c>
      <c r="E61" s="373"/>
      <c r="F61" s="408"/>
      <c r="G61" s="408" t="s">
        <v>425</v>
      </c>
      <c r="H61" s="410" t="s">
        <v>309</v>
      </c>
      <c r="I61" s="410" t="s">
        <v>254</v>
      </c>
      <c r="J61" s="409" t="s">
        <v>2</v>
      </c>
      <c r="K61" s="411">
        <v>188100081.11000004</v>
      </c>
      <c r="L61" s="279">
        <v>188100081.11000004</v>
      </c>
      <c r="M61" s="412">
        <v>1.404E-2</v>
      </c>
      <c r="N61" s="279">
        <f>9751561.92837819+3148517+4073473.9+4413816.1+8906910</f>
        <v>30294278.928378187</v>
      </c>
      <c r="O61" s="279">
        <f>2860113.02682379+907883.8</f>
        <v>3767996.8268237896</v>
      </c>
      <c r="P61" s="411">
        <f t="shared" si="2"/>
        <v>157805802.18162185</v>
      </c>
      <c r="Q61" s="414"/>
      <c r="R61" s="415" t="s">
        <v>424</v>
      </c>
      <c r="T61" s="270"/>
    </row>
    <row r="62" spans="1:20" s="295" customFormat="1" ht="15" customHeight="1" x14ac:dyDescent="0.25">
      <c r="A62" s="380" t="s">
        <v>123</v>
      </c>
      <c r="B62" s="381"/>
      <c r="C62" s="382"/>
      <c r="D62" s="416"/>
      <c r="E62" s="416"/>
      <c r="F62" s="416"/>
      <c r="G62" s="383"/>
      <c r="H62" s="383"/>
      <c r="I62" s="383"/>
      <c r="J62" s="383" t="s">
        <v>25</v>
      </c>
      <c r="K62" s="296">
        <f>SUMIF($J$56:$J$61,J62,$K$56:$K$61)</f>
        <v>20000000</v>
      </c>
      <c r="L62" s="296">
        <f>SUMIF($J$56:$J$61,J62,$L$56:$L$61)</f>
        <v>20000000</v>
      </c>
      <c r="M62" s="300"/>
      <c r="N62" s="296">
        <f>SUMIF($J$56:$J$61,J62,$N$56:$N$61)</f>
        <v>14649555.928790241</v>
      </c>
      <c r="O62" s="296">
        <f>SUMIF($J$56:$J$61,J62,$O$56:$O$61)</f>
        <v>1896365.6272833261</v>
      </c>
      <c r="P62" s="296">
        <f>SUMIF($J$56:$J$61,J62,$P$56:$P$61)</f>
        <v>5350444.0712097567</v>
      </c>
      <c r="Q62" s="384"/>
      <c r="R62" s="385"/>
      <c r="S62" s="272"/>
      <c r="T62" s="270"/>
    </row>
    <row r="63" spans="1:20" s="295" customFormat="1" ht="15" customHeight="1" x14ac:dyDescent="0.25">
      <c r="A63" s="386"/>
      <c r="B63" s="387"/>
      <c r="C63" s="388"/>
      <c r="D63" s="417"/>
      <c r="E63" s="417"/>
      <c r="F63" s="417"/>
      <c r="G63" s="389"/>
      <c r="H63" s="389"/>
      <c r="I63" s="389"/>
      <c r="J63" s="389" t="s">
        <v>2</v>
      </c>
      <c r="K63" s="297">
        <f>SUMIF($J$56:$J$61,J63,$K$56:$K$61)</f>
        <v>254194676.11000004</v>
      </c>
      <c r="L63" s="297">
        <f>SUMIF($J$56:$J$61,J63,$L$56:$L$61)</f>
        <v>254194676.11000004</v>
      </c>
      <c r="M63" s="297"/>
      <c r="N63" s="297">
        <f>SUMIF($J$56:$J$61,J63,$N$56:$N$61)</f>
        <v>69951035.968378186</v>
      </c>
      <c r="O63" s="297">
        <f>SUMIF($J$56:$J$61,J63,$O$56:$O$61)</f>
        <v>8914738.1245590784</v>
      </c>
      <c r="P63" s="297">
        <f>SUMIF($J$56:$J$61,J63,$P$56:$P$61)</f>
        <v>184243640.14162186</v>
      </c>
      <c r="Q63" s="390"/>
      <c r="R63" s="391"/>
      <c r="S63" s="272"/>
      <c r="T63" s="270"/>
    </row>
    <row r="64" spans="1:20" s="295" customFormat="1" ht="15" customHeight="1" x14ac:dyDescent="0.25">
      <c r="A64" s="386"/>
      <c r="B64" s="387"/>
      <c r="C64" s="388"/>
      <c r="D64" s="417"/>
      <c r="E64" s="417"/>
      <c r="F64" s="417"/>
      <c r="G64" s="389"/>
      <c r="H64" s="389"/>
      <c r="I64" s="389"/>
      <c r="J64" s="389" t="s">
        <v>47</v>
      </c>
      <c r="K64" s="297">
        <f>SUMIF($J$56:$J$61,J64,$K$56:$K$61)</f>
        <v>0</v>
      </c>
      <c r="L64" s="297">
        <f>SUMIF($J$56:$J$61,J64,$L$56:$L$61)</f>
        <v>0</v>
      </c>
      <c r="M64" s="297"/>
      <c r="N64" s="297">
        <f>SUMIF($J$56:$J$61,J64,$N$56:$N$61)</f>
        <v>0</v>
      </c>
      <c r="O64" s="297">
        <f>SUMIF($J$56:$J$61,J64,$O$56:$O$61)</f>
        <v>0</v>
      </c>
      <c r="P64" s="297">
        <f>SUMIF($J$56:$J$61,J64,$P$56:$P$61)</f>
        <v>0</v>
      </c>
      <c r="Q64" s="390"/>
      <c r="R64" s="391"/>
      <c r="S64" s="272"/>
      <c r="T64" s="270"/>
    </row>
    <row r="65" spans="1:20" s="295" customFormat="1" ht="15" customHeight="1" thickBot="1" x14ac:dyDescent="0.3">
      <c r="A65" s="396"/>
      <c r="B65" s="397"/>
      <c r="C65" s="398"/>
      <c r="D65" s="418"/>
      <c r="E65" s="418"/>
      <c r="F65" s="418"/>
      <c r="G65" s="399"/>
      <c r="H65" s="399"/>
      <c r="I65" s="399"/>
      <c r="J65" s="399" t="s">
        <v>67</v>
      </c>
      <c r="K65" s="298">
        <f>SUMIF($J$56:$J$61,J65,$K$56:$K$61)</f>
        <v>0</v>
      </c>
      <c r="L65" s="298">
        <f>SUMIF($J$56:$J$61,J65,$L$56:$L$61)</f>
        <v>0</v>
      </c>
      <c r="M65" s="298"/>
      <c r="N65" s="298">
        <f>SUMIF($J$56:$J$61,J65,$N$56:$N$61)</f>
        <v>0</v>
      </c>
      <c r="O65" s="298">
        <f>SUMIF($J$56:$J$61,J65,$O$56:$O$61)</f>
        <v>0</v>
      </c>
      <c r="P65" s="298">
        <f>SUMIF($J$56:$J$61,J65,$P$56:$P$61)</f>
        <v>0</v>
      </c>
      <c r="Q65" s="403"/>
      <c r="R65" s="404"/>
      <c r="S65" s="272"/>
      <c r="T65" s="270"/>
    </row>
    <row r="66" spans="1:20" s="269" customFormat="1" ht="91.5" customHeight="1" outlineLevel="1" x14ac:dyDescent="0.25">
      <c r="A66" s="274">
        <v>33</v>
      </c>
      <c r="B66" s="275" t="s">
        <v>124</v>
      </c>
      <c r="C66" s="275" t="s">
        <v>125</v>
      </c>
      <c r="D66" s="276" t="s">
        <v>411</v>
      </c>
      <c r="E66" s="277" t="s">
        <v>542</v>
      </c>
      <c r="F66" s="277" t="s">
        <v>310</v>
      </c>
      <c r="G66" s="278" t="s">
        <v>399</v>
      </c>
      <c r="H66" s="277"/>
      <c r="I66" s="275" t="s">
        <v>126</v>
      </c>
      <c r="J66" s="275" t="s">
        <v>2</v>
      </c>
      <c r="K66" s="279">
        <v>74000000000</v>
      </c>
      <c r="L66" s="279">
        <v>74000000000</v>
      </c>
      <c r="M66" s="280" t="s">
        <v>127</v>
      </c>
      <c r="N66" s="279">
        <f>38761904762.2+1761904761.9+1761904761.9+1761904761.9+1761904761.9+1761904761.9+1761904761.9+1761904761.9+1761904761.9+1761904761.9+1761904761.9+1761904761.9+1761904761.9+1761904761.9+1761904761.9+1761904761.9+1761904762+1761904762+1761904761.9</f>
        <v>70476190476.600021</v>
      </c>
      <c r="O66" s="279">
        <f>27971909177.5+338144.2+498915.4+526901.3+642474.8+795979.5+10421637.5+1734045.9+86178.9+156588.3+335841+256258.7+369392+1307877+6082866+2634+4444.2+89905.9+254774+505184+484050.8+3446957.7</f>
        <v>28000250228.600006</v>
      </c>
      <c r="P66" s="281">
        <f>L66-N66</f>
        <v>3523809523.3999786</v>
      </c>
      <c r="Q66" s="282" t="s">
        <v>71</v>
      </c>
      <c r="R66" s="283" t="s">
        <v>424</v>
      </c>
      <c r="S66" s="284"/>
      <c r="T66" s="270"/>
    </row>
    <row r="67" spans="1:20" s="269" customFormat="1" ht="91.5" customHeight="1" outlineLevel="1" x14ac:dyDescent="0.25">
      <c r="A67" s="274">
        <v>34</v>
      </c>
      <c r="B67" s="275" t="s">
        <v>124</v>
      </c>
      <c r="C67" s="275" t="s">
        <v>128</v>
      </c>
      <c r="D67" s="275" t="s">
        <v>23</v>
      </c>
      <c r="E67" s="277" t="s">
        <v>543</v>
      </c>
      <c r="F67" s="277" t="s">
        <v>311</v>
      </c>
      <c r="G67" s="278" t="s">
        <v>399</v>
      </c>
      <c r="H67" s="277"/>
      <c r="I67" s="275" t="s">
        <v>129</v>
      </c>
      <c r="J67" s="275" t="s">
        <v>2</v>
      </c>
      <c r="K67" s="279">
        <v>2035890300</v>
      </c>
      <c r="L67" s="279">
        <v>2035890300</v>
      </c>
      <c r="M67" s="280" t="s">
        <v>40</v>
      </c>
      <c r="N67" s="279">
        <v>0</v>
      </c>
      <c r="O67" s="279">
        <v>0</v>
      </c>
      <c r="P67" s="281">
        <f t="shared" ref="P67:P72" si="3">L67-N67</f>
        <v>2035890300</v>
      </c>
      <c r="Q67" s="282" t="s">
        <v>71</v>
      </c>
      <c r="R67" s="283" t="s">
        <v>424</v>
      </c>
      <c r="S67" s="284"/>
      <c r="T67" s="270"/>
    </row>
    <row r="68" spans="1:20" ht="81" outlineLevel="1" x14ac:dyDescent="0.25">
      <c r="A68" s="405">
        <v>35</v>
      </c>
      <c r="B68" s="352" t="s">
        <v>130</v>
      </c>
      <c r="C68" s="275" t="s">
        <v>131</v>
      </c>
      <c r="D68" s="278" t="s">
        <v>23</v>
      </c>
      <c r="E68" s="278" t="s">
        <v>544</v>
      </c>
      <c r="F68" s="278" t="s">
        <v>545</v>
      </c>
      <c r="G68" s="278" t="s">
        <v>423</v>
      </c>
      <c r="H68" s="277" t="s">
        <v>546</v>
      </c>
      <c r="I68" s="278" t="s">
        <v>132</v>
      </c>
      <c r="J68" s="329" t="s">
        <v>25</v>
      </c>
      <c r="K68" s="279">
        <v>3500000</v>
      </c>
      <c r="L68" s="279">
        <v>3500000</v>
      </c>
      <c r="M68" s="280">
        <v>7.4999999999999997E-3</v>
      </c>
      <c r="N68" s="279">
        <f>696000+31440060/542.07+58000+24255020/418.19+24400600/420.7+25920780/446.91+24152360/416.42+23862360/411.42+25942240/447.28</f>
        <v>1160000</v>
      </c>
      <c r="O68" s="279">
        <f>399592.922231146+10515+10297.5+4215355.2/418.19+4149153.8/420.7+4310447/446.91+3925799.6/416.42+3789178.2/411.42+4022165.4/447.28</f>
        <v>477622.92258194601</v>
      </c>
      <c r="P68" s="281">
        <f t="shared" si="3"/>
        <v>2340000</v>
      </c>
      <c r="Q68" s="282" t="s">
        <v>71</v>
      </c>
      <c r="R68" s="283" t="s">
        <v>424</v>
      </c>
      <c r="T68" s="270"/>
    </row>
    <row r="69" spans="1:20" ht="128.25" customHeight="1" outlineLevel="1" x14ac:dyDescent="0.25">
      <c r="A69" s="274">
        <v>36</v>
      </c>
      <c r="B69" s="352" t="s">
        <v>133</v>
      </c>
      <c r="C69" s="275" t="s">
        <v>134</v>
      </c>
      <c r="D69" s="275" t="s">
        <v>135</v>
      </c>
      <c r="E69" s="275" t="s">
        <v>547</v>
      </c>
      <c r="F69" s="330" t="s">
        <v>312</v>
      </c>
      <c r="G69" s="278" t="s">
        <v>399</v>
      </c>
      <c r="H69" s="330"/>
      <c r="I69" s="278" t="s">
        <v>136</v>
      </c>
      <c r="J69" s="329" t="s">
        <v>47</v>
      </c>
      <c r="K69" s="281">
        <v>1689937.9</v>
      </c>
      <c r="L69" s="279">
        <v>1689937.9</v>
      </c>
      <c r="M69" s="358">
        <v>5.9900000000000002E-2</v>
      </c>
      <c r="N69" s="279">
        <f>872805.23+28165+28165+28165+28165+28165</f>
        <v>1013630.23</v>
      </c>
      <c r="O69" s="279">
        <f>1964862.47+25588.58+24871.58+24276.42+23029.84+21873.13</f>
        <v>2084502.02</v>
      </c>
      <c r="P69" s="281">
        <f t="shared" si="3"/>
        <v>676307.66999999993</v>
      </c>
      <c r="Q69" s="419" t="s">
        <v>71</v>
      </c>
      <c r="R69" s="420" t="s">
        <v>424</v>
      </c>
      <c r="T69" s="270"/>
    </row>
    <row r="70" spans="1:20" ht="98.25" customHeight="1" outlineLevel="1" x14ac:dyDescent="0.25">
      <c r="A70" s="405">
        <v>37</v>
      </c>
      <c r="B70" s="352" t="s">
        <v>137</v>
      </c>
      <c r="C70" s="275" t="s">
        <v>138</v>
      </c>
      <c r="D70" s="275" t="s">
        <v>135</v>
      </c>
      <c r="E70" s="275" t="s">
        <v>548</v>
      </c>
      <c r="F70" s="330" t="s">
        <v>313</v>
      </c>
      <c r="G70" s="278" t="s">
        <v>399</v>
      </c>
      <c r="H70" s="330"/>
      <c r="I70" s="278" t="s">
        <v>139</v>
      </c>
      <c r="J70" s="329" t="s">
        <v>47</v>
      </c>
      <c r="K70" s="281">
        <v>2828000</v>
      </c>
      <c r="L70" s="279">
        <v>2828000</v>
      </c>
      <c r="M70" s="358">
        <v>5.9900000000000002E-2</v>
      </c>
      <c r="N70" s="281">
        <f>1128831.5+47000+47000+47000+47000</f>
        <v>1316831.5</v>
      </c>
      <c r="O70" s="279">
        <f>1731608.85+50775.51+49371.71+48231.48+46564.13</f>
        <v>1926551.68</v>
      </c>
      <c r="P70" s="281">
        <f t="shared" si="3"/>
        <v>1511168.5</v>
      </c>
      <c r="Q70" s="419" t="s">
        <v>71</v>
      </c>
      <c r="R70" s="420" t="s">
        <v>424</v>
      </c>
      <c r="T70" s="270"/>
    </row>
    <row r="71" spans="1:20" s="286" customFormat="1" ht="140.25" customHeight="1" outlineLevel="1" x14ac:dyDescent="0.25">
      <c r="A71" s="274">
        <v>38</v>
      </c>
      <c r="B71" s="352" t="s">
        <v>140</v>
      </c>
      <c r="C71" s="275" t="s">
        <v>141</v>
      </c>
      <c r="D71" s="275" t="s">
        <v>135</v>
      </c>
      <c r="E71" s="352" t="s">
        <v>549</v>
      </c>
      <c r="F71" s="278" t="s">
        <v>314</v>
      </c>
      <c r="G71" s="278" t="s">
        <v>550</v>
      </c>
      <c r="H71" s="278"/>
      <c r="I71" s="278" t="s">
        <v>142</v>
      </c>
      <c r="J71" s="275" t="s">
        <v>2</v>
      </c>
      <c r="K71" s="421">
        <v>2092000000</v>
      </c>
      <c r="L71" s="279">
        <v>2092000000</v>
      </c>
      <c r="M71" s="422">
        <v>0.02</v>
      </c>
      <c r="N71" s="279">
        <f>354576270+35457627.1+35457627+35457627+35457627+35457627.12+35457627</f>
        <v>567322032.22000003</v>
      </c>
      <c r="O71" s="279">
        <f>426427783.87+17517039.3+16879773.4+16802058.1+16265822.2+16087076.86+15558612.5</f>
        <v>525538166.23000002</v>
      </c>
      <c r="P71" s="281">
        <f t="shared" si="3"/>
        <v>1524677967.78</v>
      </c>
      <c r="Q71" s="419" t="s">
        <v>71</v>
      </c>
      <c r="R71" s="420" t="s">
        <v>424</v>
      </c>
      <c r="S71" s="285"/>
      <c r="T71" s="270"/>
    </row>
    <row r="72" spans="1:20" s="286" customFormat="1" ht="151.5" customHeight="1" outlineLevel="1" thickBot="1" x14ac:dyDescent="0.3">
      <c r="A72" s="423">
        <v>39</v>
      </c>
      <c r="B72" s="424" t="s">
        <v>140</v>
      </c>
      <c r="C72" s="425" t="s">
        <v>143</v>
      </c>
      <c r="D72" s="425" t="s">
        <v>135</v>
      </c>
      <c r="E72" s="425" t="s">
        <v>551</v>
      </c>
      <c r="F72" s="426" t="s">
        <v>315</v>
      </c>
      <c r="G72" s="278" t="s">
        <v>550</v>
      </c>
      <c r="H72" s="426"/>
      <c r="I72" s="426" t="s">
        <v>144</v>
      </c>
      <c r="J72" s="426" t="s">
        <v>2</v>
      </c>
      <c r="K72" s="427">
        <v>2187306400</v>
      </c>
      <c r="L72" s="427">
        <v>2187306400</v>
      </c>
      <c r="M72" s="428">
        <v>0.03</v>
      </c>
      <c r="N72" s="429">
        <f>75424358.62+75424358.6</f>
        <v>150848717.22</v>
      </c>
      <c r="O72" s="429">
        <f>224789707.9+33079263.9+32539928.1+33079263.9+32719706.7+33079263.9+31591441</f>
        <v>420878575.39999998</v>
      </c>
      <c r="P72" s="430">
        <f t="shared" si="3"/>
        <v>2036457682.78</v>
      </c>
      <c r="Q72" s="431" t="s">
        <v>71</v>
      </c>
      <c r="R72" s="432" t="s">
        <v>424</v>
      </c>
      <c r="S72" s="285"/>
      <c r="T72" s="270"/>
    </row>
    <row r="73" spans="1:20" s="295" customFormat="1" ht="15" customHeight="1" x14ac:dyDescent="0.25">
      <c r="A73" s="386" t="s">
        <v>145</v>
      </c>
      <c r="B73" s="387"/>
      <c r="C73" s="388"/>
      <c r="D73" s="433"/>
      <c r="E73" s="433"/>
      <c r="F73" s="433"/>
      <c r="G73" s="434"/>
      <c r="H73" s="434"/>
      <c r="I73" s="434"/>
      <c r="J73" s="434" t="s">
        <v>25</v>
      </c>
      <c r="K73" s="299">
        <f>SUMIF($J$66:$J$72,J73,$K$66:$K$72)</f>
        <v>3500000</v>
      </c>
      <c r="L73" s="299">
        <f>SUMIF($J$66:$J$72,J73,$L$66:$L$72)</f>
        <v>3500000</v>
      </c>
      <c r="M73" s="299"/>
      <c r="N73" s="299">
        <f>SUMIF($J$66:$J$72,J73,$N$66:$N$72)</f>
        <v>1160000</v>
      </c>
      <c r="O73" s="299">
        <f>SUMIF($J$66:$J$72,J73,$O$66:$O$72)</f>
        <v>477622.92258194601</v>
      </c>
      <c r="P73" s="299">
        <f>SUMIF($J$66:$J$72,J73,$P$66:$P$72)</f>
        <v>2340000</v>
      </c>
      <c r="Q73" s="435"/>
      <c r="R73" s="385"/>
      <c r="S73" s="272"/>
      <c r="T73" s="270"/>
    </row>
    <row r="74" spans="1:20" s="295" customFormat="1" ht="15" customHeight="1" x14ac:dyDescent="0.25">
      <c r="A74" s="386"/>
      <c r="B74" s="387"/>
      <c r="C74" s="388"/>
      <c r="D74" s="417"/>
      <c r="E74" s="417"/>
      <c r="F74" s="417"/>
      <c r="G74" s="389"/>
      <c r="H74" s="389"/>
      <c r="I74" s="389"/>
      <c r="J74" s="389" t="s">
        <v>2</v>
      </c>
      <c r="K74" s="297">
        <f>SUMIF($J$66:$J$72,J74,$K$66:$K$72)</f>
        <v>80315196700</v>
      </c>
      <c r="L74" s="297">
        <f>SUMIF($J$66:$J$72,J74,$L$66:$L$72)</f>
        <v>80315196700</v>
      </c>
      <c r="M74" s="297"/>
      <c r="N74" s="297">
        <f>SUMIF($J$66:$J$72,J74,$N$66:$N$72)</f>
        <v>71194361226.040024</v>
      </c>
      <c r="O74" s="297">
        <f>SUMIF($J$66:$J$72,J74,$O$66:$O$72)</f>
        <v>28946666970.230007</v>
      </c>
      <c r="P74" s="297">
        <f>SUMIF($J$66:$J$72,J74,$P$66:$P$72)</f>
        <v>9120835473.9599781</v>
      </c>
      <c r="Q74" s="390"/>
      <c r="R74" s="391"/>
      <c r="S74" s="272"/>
      <c r="T74" s="270"/>
    </row>
    <row r="75" spans="1:20" s="295" customFormat="1" ht="15" customHeight="1" x14ac:dyDescent="0.25">
      <c r="A75" s="386"/>
      <c r="B75" s="387"/>
      <c r="C75" s="388"/>
      <c r="D75" s="417"/>
      <c r="E75" s="417"/>
      <c r="F75" s="417"/>
      <c r="G75" s="389"/>
      <c r="H75" s="389"/>
      <c r="I75" s="389"/>
      <c r="J75" s="389" t="s">
        <v>47</v>
      </c>
      <c r="K75" s="297">
        <f>SUMIF($J$66:$J$72,J75,$K$66:$K$72)</f>
        <v>4517937.9000000004</v>
      </c>
      <c r="L75" s="297">
        <f>SUMIF($J$66:$J$72,J75,$L$66:$L$72)</f>
        <v>4517937.9000000004</v>
      </c>
      <c r="M75" s="297"/>
      <c r="N75" s="297">
        <f>SUMIF($J$66:$J$72,J75,$N$66:$N$72)</f>
        <v>2330461.73</v>
      </c>
      <c r="O75" s="297">
        <f>SUMIF($J$66:$J$72,J75,$O$66:$O$72)</f>
        <v>4011053.7</v>
      </c>
      <c r="P75" s="297">
        <f>SUMIF($J$66:$J$72,J75,$P$66:$P$72)</f>
        <v>2187476.17</v>
      </c>
      <c r="Q75" s="390"/>
      <c r="R75" s="391"/>
      <c r="S75" s="272"/>
      <c r="T75" s="270"/>
    </row>
    <row r="76" spans="1:20" s="295" customFormat="1" ht="15" customHeight="1" thickBot="1" x14ac:dyDescent="0.3">
      <c r="A76" s="396"/>
      <c r="B76" s="397"/>
      <c r="C76" s="398"/>
      <c r="D76" s="418"/>
      <c r="E76" s="418"/>
      <c r="F76" s="418"/>
      <c r="G76" s="399"/>
      <c r="H76" s="399"/>
      <c r="I76" s="399"/>
      <c r="J76" s="399" t="s">
        <v>67</v>
      </c>
      <c r="K76" s="298">
        <f>SUMIF($J$66:$J$72,J76,$K$66:$K$72)</f>
        <v>0</v>
      </c>
      <c r="L76" s="298">
        <f>SUMIF($J$66:$J$72,J76,$L$66:$L$72)</f>
        <v>0</v>
      </c>
      <c r="M76" s="298"/>
      <c r="N76" s="298">
        <f>SUMIF($J$66:$J$72,J76,$N$66:$N$72)</f>
        <v>0</v>
      </c>
      <c r="O76" s="298">
        <f>SUMIF($J$66:$J$72,J76,$O$66:$O$72)</f>
        <v>0</v>
      </c>
      <c r="P76" s="298">
        <f>SUMIF($J$66:$J$72,J76,$P$66:$P$72)</f>
        <v>0</v>
      </c>
      <c r="Q76" s="403"/>
      <c r="R76" s="404"/>
      <c r="S76" s="272"/>
      <c r="T76" s="270"/>
    </row>
    <row r="77" spans="1:20" s="269" customFormat="1" ht="77.25" customHeight="1" outlineLevel="1" x14ac:dyDescent="0.25">
      <c r="A77" s="274">
        <v>40</v>
      </c>
      <c r="B77" s="352" t="s">
        <v>146</v>
      </c>
      <c r="C77" s="275" t="s">
        <v>147</v>
      </c>
      <c r="D77" s="276" t="s">
        <v>87</v>
      </c>
      <c r="E77" s="276"/>
      <c r="F77" s="276" t="s">
        <v>316</v>
      </c>
      <c r="G77" s="317" t="s">
        <v>552</v>
      </c>
      <c r="H77" s="276"/>
      <c r="I77" s="275" t="s">
        <v>148</v>
      </c>
      <c r="J77" s="329" t="s">
        <v>47</v>
      </c>
      <c r="K77" s="279">
        <v>361332</v>
      </c>
      <c r="L77" s="279">
        <v>361332</v>
      </c>
      <c r="M77" s="280">
        <v>7.7700000000000005E-2</v>
      </c>
      <c r="N77" s="279">
        <f>219031+1000000/388.24</f>
        <v>221606.72635483206</v>
      </c>
      <c r="O77" s="279">
        <f>187530</f>
        <v>187530</v>
      </c>
      <c r="P77" s="281">
        <f>L77-N77</f>
        <v>139725.27364516794</v>
      </c>
      <c r="Q77" s="282" t="s">
        <v>149</v>
      </c>
      <c r="R77" s="324" t="s">
        <v>426</v>
      </c>
      <c r="S77" s="284"/>
      <c r="T77" s="270"/>
    </row>
    <row r="78" spans="1:20" ht="136.5" customHeight="1" outlineLevel="1" x14ac:dyDescent="0.25">
      <c r="A78" s="274">
        <v>41</v>
      </c>
      <c r="B78" s="352" t="s">
        <v>150</v>
      </c>
      <c r="C78" s="275" t="s">
        <v>151</v>
      </c>
      <c r="D78" s="408" t="s">
        <v>110</v>
      </c>
      <c r="E78" s="408" t="s">
        <v>553</v>
      </c>
      <c r="F78" s="408"/>
      <c r="G78" s="408" t="s">
        <v>423</v>
      </c>
      <c r="H78" s="334" t="s">
        <v>317</v>
      </c>
      <c r="I78" s="279" t="s">
        <v>152</v>
      </c>
      <c r="J78" s="329" t="s">
        <v>25</v>
      </c>
      <c r="K78" s="279">
        <v>8000000</v>
      </c>
      <c r="L78" s="279">
        <v>80000</v>
      </c>
      <c r="M78" s="280" t="s">
        <v>40</v>
      </c>
      <c r="N78" s="279">
        <f>10909.09+3636.36+3636.36+1428217/392.76+1554016/427.35+3636.4+3632.85+3636.4+3636.4</f>
        <v>39996.621703756209</v>
      </c>
      <c r="O78" s="279">
        <f>105386.95+361.72+42360.02+4761284/392.76+5116448/427.35+12019.8+11989.6+11973.65+11692.5+220.61</f>
        <v>220099.97988818213</v>
      </c>
      <c r="P78" s="281">
        <f>L78-N78</f>
        <v>40003.378296243791</v>
      </c>
      <c r="Q78" s="282" t="s">
        <v>153</v>
      </c>
      <c r="R78" s="283" t="s">
        <v>424</v>
      </c>
      <c r="T78" s="270"/>
    </row>
    <row r="79" spans="1:20" ht="108.75" customHeight="1" outlineLevel="1" x14ac:dyDescent="0.25">
      <c r="A79" s="274">
        <v>42</v>
      </c>
      <c r="B79" s="352" t="s">
        <v>150</v>
      </c>
      <c r="C79" s="275" t="s">
        <v>154</v>
      </c>
      <c r="D79" s="408" t="s">
        <v>118</v>
      </c>
      <c r="E79" s="408" t="s">
        <v>554</v>
      </c>
      <c r="F79" s="408"/>
      <c r="G79" s="408" t="s">
        <v>423</v>
      </c>
      <c r="H79" s="334" t="s">
        <v>318</v>
      </c>
      <c r="I79" s="279" t="s">
        <v>152</v>
      </c>
      <c r="J79" s="329" t="s">
        <v>25</v>
      </c>
      <c r="K79" s="279">
        <v>8000000</v>
      </c>
      <c r="L79" s="279"/>
      <c r="M79" s="280" t="s">
        <v>40</v>
      </c>
      <c r="N79" s="279"/>
      <c r="O79" s="279"/>
      <c r="P79" s="281">
        <f>L79-N79</f>
        <v>0</v>
      </c>
      <c r="Q79" s="282" t="s">
        <v>153</v>
      </c>
      <c r="R79" s="283" t="s">
        <v>424</v>
      </c>
      <c r="T79" s="270"/>
    </row>
    <row r="80" spans="1:20" ht="79.5" customHeight="1" outlineLevel="1" x14ac:dyDescent="0.25">
      <c r="A80" s="335">
        <v>43</v>
      </c>
      <c r="B80" s="354" t="s">
        <v>155</v>
      </c>
      <c r="C80" s="337" t="s">
        <v>252</v>
      </c>
      <c r="D80" s="408" t="s">
        <v>110</v>
      </c>
      <c r="E80" s="408" t="s">
        <v>555</v>
      </c>
      <c r="F80" s="408"/>
      <c r="G80" s="408" t="s">
        <v>423</v>
      </c>
      <c r="H80" s="339" t="s">
        <v>319</v>
      </c>
      <c r="I80" s="337" t="s">
        <v>266</v>
      </c>
      <c r="J80" s="329" t="s">
        <v>25</v>
      </c>
      <c r="K80" s="279">
        <v>5500000</v>
      </c>
      <c r="L80" s="279">
        <v>5483363.8099999996</v>
      </c>
      <c r="M80" s="280" t="s">
        <v>40</v>
      </c>
      <c r="N80" s="279"/>
      <c r="O80" s="279"/>
      <c r="P80" s="281">
        <f t="shared" ref="P80:P105" si="4">L80-N80</f>
        <v>5483363.8099999996</v>
      </c>
      <c r="Q80" s="282" t="s">
        <v>71</v>
      </c>
      <c r="R80" s="283" t="s">
        <v>426</v>
      </c>
      <c r="T80" s="270"/>
    </row>
    <row r="81" spans="1:20" ht="99" customHeight="1" outlineLevel="1" x14ac:dyDescent="0.25">
      <c r="A81" s="326"/>
      <c r="B81" s="355"/>
      <c r="C81" s="341"/>
      <c r="D81" s="408" t="s">
        <v>408</v>
      </c>
      <c r="E81" s="408" t="s">
        <v>555</v>
      </c>
      <c r="F81" s="408"/>
      <c r="G81" s="408" t="s">
        <v>425</v>
      </c>
      <c r="H81" s="342"/>
      <c r="I81" s="341"/>
      <c r="J81" s="278" t="s">
        <v>2</v>
      </c>
      <c r="K81" s="279">
        <f>92733053.2+20276600+1679251+16492341.9+20399976.4+42969092+26833268.5</f>
        <v>221383583</v>
      </c>
      <c r="L81" s="279">
        <f>92733053.2+20276600+1679251+16492341.9+20399976.4+42969092+26833268.5</f>
        <v>221383583</v>
      </c>
      <c r="M81" s="280"/>
      <c r="N81" s="279"/>
      <c r="O81" s="279"/>
      <c r="P81" s="281">
        <f t="shared" si="4"/>
        <v>221383583</v>
      </c>
      <c r="Q81" s="282"/>
      <c r="R81" s="283" t="s">
        <v>426</v>
      </c>
      <c r="T81" s="270"/>
    </row>
    <row r="82" spans="1:20" ht="80.25" customHeight="1" outlineLevel="1" x14ac:dyDescent="0.25">
      <c r="A82" s="274">
        <v>44</v>
      </c>
      <c r="B82" s="352" t="s">
        <v>156</v>
      </c>
      <c r="C82" s="275" t="s">
        <v>157</v>
      </c>
      <c r="D82" s="275" t="s">
        <v>408</v>
      </c>
      <c r="E82" s="275" t="s">
        <v>556</v>
      </c>
      <c r="F82" s="334" t="s">
        <v>320</v>
      </c>
      <c r="G82" s="278" t="s">
        <v>399</v>
      </c>
      <c r="H82" s="334"/>
      <c r="I82" s="279" t="s">
        <v>158</v>
      </c>
      <c r="J82" s="278" t="s">
        <v>2</v>
      </c>
      <c r="K82" s="279">
        <v>249300000</v>
      </c>
      <c r="L82" s="279">
        <v>249300000</v>
      </c>
      <c r="M82" s="353">
        <v>1E-3</v>
      </c>
      <c r="N82" s="279">
        <f>42881892.9</f>
        <v>42881892.899999999</v>
      </c>
      <c r="O82" s="279">
        <f>528153.5</f>
        <v>528153.5</v>
      </c>
      <c r="P82" s="281">
        <f t="shared" si="4"/>
        <v>206418107.09999999</v>
      </c>
      <c r="Q82" s="282" t="s">
        <v>71</v>
      </c>
      <c r="R82" s="283" t="s">
        <v>424</v>
      </c>
      <c r="T82" s="270"/>
    </row>
    <row r="83" spans="1:20" ht="148.5" outlineLevel="1" x14ac:dyDescent="0.25">
      <c r="A83" s="274">
        <v>45</v>
      </c>
      <c r="B83" s="346" t="s">
        <v>100</v>
      </c>
      <c r="C83" s="336" t="s">
        <v>101</v>
      </c>
      <c r="D83" s="408" t="s">
        <v>110</v>
      </c>
      <c r="E83" s="408" t="s">
        <v>462</v>
      </c>
      <c r="F83" s="408" t="s">
        <v>557</v>
      </c>
      <c r="G83" s="408" t="s">
        <v>423</v>
      </c>
      <c r="H83" s="410" t="s">
        <v>558</v>
      </c>
      <c r="I83" s="411" t="s">
        <v>102</v>
      </c>
      <c r="J83" s="329" t="s">
        <v>47</v>
      </c>
      <c r="K83" s="279">
        <v>4000000</v>
      </c>
      <c r="L83" s="279">
        <v>1325350.5999999999</v>
      </c>
      <c r="M83" s="280" t="s">
        <v>40</v>
      </c>
      <c r="N83" s="279">
        <f>465353.9+34986668/397.71+41212635/391.46+40758842/387.15+219500300/390.94</f>
        <v>1325350.7000158217</v>
      </c>
      <c r="O83" s="279">
        <f>188098.2+7483550/397.71+8032446/391.46+5274803/387.15+8236793/390.94</f>
        <v>262127.90085095167</v>
      </c>
      <c r="P83" s="378">
        <f>L83-N83</f>
        <v>-0.10001582186669111</v>
      </c>
      <c r="Q83" s="336" t="s">
        <v>103</v>
      </c>
      <c r="R83" s="292" t="s">
        <v>485</v>
      </c>
      <c r="T83" s="270"/>
    </row>
    <row r="84" spans="1:20" ht="52.5" customHeight="1" outlineLevel="1" x14ac:dyDescent="0.25">
      <c r="A84" s="274"/>
      <c r="B84" s="346" t="s">
        <v>559</v>
      </c>
      <c r="C84" s="336" t="s">
        <v>560</v>
      </c>
      <c r="D84" s="408" t="s">
        <v>408</v>
      </c>
      <c r="E84" s="408" t="s">
        <v>561</v>
      </c>
      <c r="F84" s="408" t="s">
        <v>562</v>
      </c>
      <c r="G84" s="408" t="s">
        <v>399</v>
      </c>
      <c r="H84" s="410"/>
      <c r="I84" s="411" t="s">
        <v>563</v>
      </c>
      <c r="J84" s="329" t="s">
        <v>2</v>
      </c>
      <c r="K84" s="279">
        <v>866493700</v>
      </c>
      <c r="L84" s="279">
        <v>866493700</v>
      </c>
      <c r="M84" s="280">
        <v>7.6600000000000001E-2</v>
      </c>
      <c r="N84" s="279"/>
      <c r="O84" s="279"/>
      <c r="P84" s="378">
        <f>L84-N84</f>
        <v>866493700</v>
      </c>
      <c r="Q84" s="291" t="s">
        <v>71</v>
      </c>
      <c r="R84" s="292" t="s">
        <v>424</v>
      </c>
      <c r="T84" s="270"/>
    </row>
    <row r="85" spans="1:20" s="286" customFormat="1" ht="40.5" outlineLevel="1" x14ac:dyDescent="0.25">
      <c r="A85" s="274">
        <v>46</v>
      </c>
      <c r="B85" s="352" t="s">
        <v>159</v>
      </c>
      <c r="C85" s="275" t="s">
        <v>125</v>
      </c>
      <c r="D85" s="278" t="s">
        <v>411</v>
      </c>
      <c r="E85" s="278" t="s">
        <v>564</v>
      </c>
      <c r="F85" s="278" t="s">
        <v>321</v>
      </c>
      <c r="G85" s="278" t="s">
        <v>399</v>
      </c>
      <c r="H85" s="278"/>
      <c r="I85" s="278" t="s">
        <v>275</v>
      </c>
      <c r="J85" s="278" t="s">
        <v>2</v>
      </c>
      <c r="K85" s="421">
        <v>50600000</v>
      </c>
      <c r="L85" s="279">
        <v>50600000</v>
      </c>
      <c r="M85" s="352" t="s">
        <v>160</v>
      </c>
      <c r="N85" s="279"/>
      <c r="O85" s="279"/>
      <c r="P85" s="421">
        <f t="shared" si="4"/>
        <v>50600000</v>
      </c>
      <c r="Q85" s="282" t="s">
        <v>71</v>
      </c>
      <c r="R85" s="283" t="s">
        <v>426</v>
      </c>
      <c r="S85" s="285"/>
      <c r="T85" s="270"/>
    </row>
    <row r="86" spans="1:20" s="286" customFormat="1" ht="40.5" customHeight="1" outlineLevel="1" x14ac:dyDescent="0.25">
      <c r="A86" s="274">
        <v>47</v>
      </c>
      <c r="B86" s="352" t="s">
        <v>159</v>
      </c>
      <c r="C86" s="275" t="s">
        <v>125</v>
      </c>
      <c r="D86" s="278" t="s">
        <v>411</v>
      </c>
      <c r="E86" s="278" t="s">
        <v>565</v>
      </c>
      <c r="F86" s="278" t="s">
        <v>322</v>
      </c>
      <c r="G86" s="278" t="s">
        <v>399</v>
      </c>
      <c r="H86" s="278"/>
      <c r="I86" s="278" t="s">
        <v>276</v>
      </c>
      <c r="J86" s="275" t="s">
        <v>2</v>
      </c>
      <c r="K86" s="421">
        <v>1100000000</v>
      </c>
      <c r="L86" s="279">
        <v>1100000000</v>
      </c>
      <c r="M86" s="352" t="s">
        <v>160</v>
      </c>
      <c r="N86" s="279"/>
      <c r="O86" s="279"/>
      <c r="P86" s="421">
        <f t="shared" si="4"/>
        <v>1100000000</v>
      </c>
      <c r="Q86" s="354" t="s">
        <v>255</v>
      </c>
      <c r="R86" s="283" t="s">
        <v>426</v>
      </c>
      <c r="S86" s="285"/>
      <c r="T86" s="270"/>
    </row>
    <row r="87" spans="1:20" s="286" customFormat="1" ht="40.5" outlineLevel="1" x14ac:dyDescent="0.25">
      <c r="A87" s="274">
        <v>48</v>
      </c>
      <c r="B87" s="352" t="s">
        <v>159</v>
      </c>
      <c r="C87" s="275" t="s">
        <v>125</v>
      </c>
      <c r="D87" s="278" t="s">
        <v>411</v>
      </c>
      <c r="E87" s="278" t="s">
        <v>566</v>
      </c>
      <c r="F87" s="278" t="s">
        <v>323</v>
      </c>
      <c r="G87" s="278" t="s">
        <v>399</v>
      </c>
      <c r="H87" s="278"/>
      <c r="I87" s="278" t="s">
        <v>277</v>
      </c>
      <c r="J87" s="275" t="s">
        <v>2</v>
      </c>
      <c r="K87" s="421">
        <v>792386600</v>
      </c>
      <c r="L87" s="279">
        <v>791031693</v>
      </c>
      <c r="M87" s="352" t="s">
        <v>160</v>
      </c>
      <c r="N87" s="279"/>
      <c r="O87" s="279"/>
      <c r="P87" s="421">
        <f t="shared" si="4"/>
        <v>791031693</v>
      </c>
      <c r="Q87" s="436"/>
      <c r="R87" s="283" t="s">
        <v>426</v>
      </c>
      <c r="S87" s="285"/>
      <c r="T87" s="270"/>
    </row>
    <row r="88" spans="1:20" s="286" customFormat="1" ht="40.5" outlineLevel="1" x14ac:dyDescent="0.25">
      <c r="A88" s="274">
        <v>49</v>
      </c>
      <c r="B88" s="352" t="s">
        <v>159</v>
      </c>
      <c r="C88" s="275" t="s">
        <v>125</v>
      </c>
      <c r="D88" s="278" t="s">
        <v>411</v>
      </c>
      <c r="E88" s="278" t="s">
        <v>567</v>
      </c>
      <c r="F88" s="278" t="s">
        <v>324</v>
      </c>
      <c r="G88" s="278" t="s">
        <v>399</v>
      </c>
      <c r="H88" s="278"/>
      <c r="I88" s="278" t="s">
        <v>278</v>
      </c>
      <c r="J88" s="275" t="s">
        <v>2</v>
      </c>
      <c r="K88" s="421">
        <v>254672300</v>
      </c>
      <c r="L88" s="279">
        <f>168444408+75498000+5196300+5196300</f>
        <v>254335008</v>
      </c>
      <c r="M88" s="352" t="s">
        <v>160</v>
      </c>
      <c r="N88" s="279"/>
      <c r="O88" s="279"/>
      <c r="P88" s="421">
        <f t="shared" si="4"/>
        <v>254335008</v>
      </c>
      <c r="Q88" s="355"/>
      <c r="R88" s="283" t="s">
        <v>426</v>
      </c>
      <c r="S88" s="285"/>
      <c r="T88" s="270"/>
    </row>
    <row r="89" spans="1:20" s="286" customFormat="1" ht="40.5" outlineLevel="1" x14ac:dyDescent="0.25">
      <c r="A89" s="274">
        <v>50</v>
      </c>
      <c r="B89" s="352" t="s">
        <v>161</v>
      </c>
      <c r="C89" s="275" t="s">
        <v>125</v>
      </c>
      <c r="D89" s="278" t="s">
        <v>408</v>
      </c>
      <c r="E89" s="278" t="s">
        <v>568</v>
      </c>
      <c r="F89" s="278" t="s">
        <v>325</v>
      </c>
      <c r="G89" s="278" t="s">
        <v>399</v>
      </c>
      <c r="H89" s="278"/>
      <c r="I89" s="278" t="s">
        <v>162</v>
      </c>
      <c r="J89" s="275" t="s">
        <v>2</v>
      </c>
      <c r="K89" s="421">
        <v>88731015</v>
      </c>
      <c r="L89" s="279">
        <v>88731000</v>
      </c>
      <c r="M89" s="437">
        <v>8.5000000000000006E-2</v>
      </c>
      <c r="N89" s="279">
        <f>88731000</f>
        <v>88731000</v>
      </c>
      <c r="O89" s="279">
        <f>1591081+30000000</f>
        <v>31591081</v>
      </c>
      <c r="P89" s="421">
        <f t="shared" si="4"/>
        <v>0</v>
      </c>
      <c r="Q89" s="419" t="s">
        <v>163</v>
      </c>
      <c r="R89" s="420" t="s">
        <v>426</v>
      </c>
      <c r="S89" s="285"/>
      <c r="T89" s="270"/>
    </row>
    <row r="90" spans="1:20" ht="81" outlineLevel="1" x14ac:dyDescent="0.25">
      <c r="A90" s="274">
        <v>51</v>
      </c>
      <c r="B90" s="346" t="s">
        <v>165</v>
      </c>
      <c r="C90" s="336" t="s">
        <v>164</v>
      </c>
      <c r="D90" s="336" t="s">
        <v>135</v>
      </c>
      <c r="E90" s="275" t="s">
        <v>326</v>
      </c>
      <c r="F90" s="275" t="s">
        <v>569</v>
      </c>
      <c r="G90" s="408" t="s">
        <v>550</v>
      </c>
      <c r="H90" s="275"/>
      <c r="I90" s="275" t="s">
        <v>166</v>
      </c>
      <c r="J90" s="275" t="s">
        <v>47</v>
      </c>
      <c r="K90" s="288">
        <v>8944984.0899999999</v>
      </c>
      <c r="L90" s="279">
        <v>8944984.0899999999</v>
      </c>
      <c r="M90" s="438">
        <v>7.4999999999999997E-3</v>
      </c>
      <c r="N90" s="279">
        <f>2425758.4+151609.9+151609.9+151609.9+151609.9+151609.9</f>
        <v>3183807.8999999994</v>
      </c>
      <c r="O90" s="279">
        <f>881276.03+25084.35+24380.12+23943.98+23373.89+22803.79+22112.2</f>
        <v>1022974.36</v>
      </c>
      <c r="P90" s="281">
        <f t="shared" si="4"/>
        <v>5761176.1900000004</v>
      </c>
      <c r="Q90" s="291" t="s">
        <v>71</v>
      </c>
      <c r="R90" s="292" t="s">
        <v>424</v>
      </c>
      <c r="T90" s="270"/>
    </row>
    <row r="91" spans="1:20" ht="55.5" customHeight="1" outlineLevel="1" x14ac:dyDescent="0.25">
      <c r="A91" s="335">
        <v>52</v>
      </c>
      <c r="B91" s="354" t="s">
        <v>167</v>
      </c>
      <c r="C91" s="337" t="s">
        <v>164</v>
      </c>
      <c r="D91" s="337" t="s">
        <v>135</v>
      </c>
      <c r="E91" s="337" t="s">
        <v>327</v>
      </c>
      <c r="F91" s="337" t="s">
        <v>327</v>
      </c>
      <c r="G91" s="408" t="s">
        <v>550</v>
      </c>
      <c r="H91" s="337"/>
      <c r="I91" s="275" t="s">
        <v>168</v>
      </c>
      <c r="J91" s="275" t="s">
        <v>47</v>
      </c>
      <c r="K91" s="288">
        <v>5217725</v>
      </c>
      <c r="L91" s="279">
        <v>5217725</v>
      </c>
      <c r="M91" s="438">
        <v>7.4999999999999997E-3</v>
      </c>
      <c r="N91" s="279">
        <f>782658.5+52177.25+52177.25+52177.25+52177.25+52177.25</f>
        <v>1043544.75</v>
      </c>
      <c r="O91" s="279">
        <f>538816.19+16480.36+16284.66+16088.46+15805.42</f>
        <v>603475.09</v>
      </c>
      <c r="P91" s="281">
        <f t="shared" si="4"/>
        <v>4174180.25</v>
      </c>
      <c r="Q91" s="337" t="s">
        <v>71</v>
      </c>
      <c r="R91" s="283" t="s">
        <v>424</v>
      </c>
      <c r="T91" s="270"/>
    </row>
    <row r="92" spans="1:20" ht="55.5" customHeight="1" outlineLevel="1" x14ac:dyDescent="0.25">
      <c r="A92" s="326"/>
      <c r="B92" s="355"/>
      <c r="C92" s="341"/>
      <c r="D92" s="341"/>
      <c r="E92" s="341"/>
      <c r="F92" s="341"/>
      <c r="G92" s="408" t="s">
        <v>550</v>
      </c>
      <c r="H92" s="341"/>
      <c r="I92" s="275" t="s">
        <v>168</v>
      </c>
      <c r="J92" s="275" t="s">
        <v>2</v>
      </c>
      <c r="K92" s="288">
        <v>93025000</v>
      </c>
      <c r="L92" s="279">
        <v>93025000</v>
      </c>
      <c r="M92" s="438">
        <v>7.4999999999999997E-3</v>
      </c>
      <c r="N92" s="279">
        <f>13953750+930250+930250+930250+930250+930250</f>
        <v>18605000</v>
      </c>
      <c r="O92" s="279">
        <f>9237334.28+296030+287830+287830+281789.29</f>
        <v>10390813.569999998</v>
      </c>
      <c r="P92" s="281">
        <f t="shared" si="4"/>
        <v>74420000</v>
      </c>
      <c r="Q92" s="341"/>
      <c r="R92" s="439" t="s">
        <v>424</v>
      </c>
      <c r="T92" s="270"/>
    </row>
    <row r="93" spans="1:20" ht="81" outlineLevel="1" x14ac:dyDescent="0.25">
      <c r="A93" s="274">
        <v>53</v>
      </c>
      <c r="B93" s="346" t="s">
        <v>169</v>
      </c>
      <c r="C93" s="336" t="s">
        <v>164</v>
      </c>
      <c r="D93" s="336" t="s">
        <v>135</v>
      </c>
      <c r="E93" s="275" t="s">
        <v>328</v>
      </c>
      <c r="F93" s="275" t="s">
        <v>328</v>
      </c>
      <c r="G93" s="408" t="s">
        <v>550</v>
      </c>
      <c r="H93" s="275"/>
      <c r="I93" s="275" t="s">
        <v>170</v>
      </c>
      <c r="J93" s="275" t="s">
        <v>47</v>
      </c>
      <c r="K93" s="288">
        <v>1989000</v>
      </c>
      <c r="L93" s="279">
        <v>1989000</v>
      </c>
      <c r="M93" s="438">
        <v>7.4999999999999997E-3</v>
      </c>
      <c r="N93" s="279">
        <f>337118.7+33711.86+33711.86+33711.86+33712+33712</f>
        <v>505678.27999999997</v>
      </c>
      <c r="O93" s="279">
        <f>177150.18+6084.76+5957.99+5831.23+5673.29</f>
        <v>200697.45</v>
      </c>
      <c r="P93" s="281">
        <f t="shared" si="4"/>
        <v>1483321.72</v>
      </c>
      <c r="Q93" s="291" t="s">
        <v>71</v>
      </c>
      <c r="R93" s="292" t="s">
        <v>424</v>
      </c>
      <c r="T93" s="270"/>
    </row>
    <row r="94" spans="1:20" ht="100.5" customHeight="1" outlineLevel="1" x14ac:dyDescent="0.25">
      <c r="A94" s="274">
        <v>54</v>
      </c>
      <c r="B94" s="346" t="s">
        <v>279</v>
      </c>
      <c r="C94" s="336" t="s">
        <v>280</v>
      </c>
      <c r="D94" s="336" t="s">
        <v>135</v>
      </c>
      <c r="E94" s="336" t="s">
        <v>329</v>
      </c>
      <c r="F94" s="336" t="s">
        <v>329</v>
      </c>
      <c r="G94" s="408" t="s">
        <v>550</v>
      </c>
      <c r="H94" s="336"/>
      <c r="I94" s="336" t="s">
        <v>281</v>
      </c>
      <c r="J94" s="275" t="s">
        <v>2</v>
      </c>
      <c r="K94" s="288">
        <v>2047212646</v>
      </c>
      <c r="L94" s="411">
        <v>2047212646</v>
      </c>
      <c r="M94" s="438">
        <v>0.02</v>
      </c>
      <c r="N94" s="279">
        <v>51180316.200000003</v>
      </c>
      <c r="O94" s="279">
        <f>88017538.4+20640391+20640391+20303862+20640391</f>
        <v>170242573.40000001</v>
      </c>
      <c r="P94" s="281">
        <f t="shared" si="4"/>
        <v>1996032329.8</v>
      </c>
      <c r="Q94" s="291" t="s">
        <v>71</v>
      </c>
      <c r="R94" s="292" t="s">
        <v>424</v>
      </c>
      <c r="T94" s="270"/>
    </row>
    <row r="95" spans="1:20" ht="144" customHeight="1" outlineLevel="1" x14ac:dyDescent="0.25">
      <c r="A95" s="365">
        <v>55</v>
      </c>
      <c r="B95" s="346" t="s">
        <v>171</v>
      </c>
      <c r="C95" s="336" t="s">
        <v>172</v>
      </c>
      <c r="D95" s="336" t="s">
        <v>87</v>
      </c>
      <c r="E95" s="336"/>
      <c r="F95" s="336" t="s">
        <v>420</v>
      </c>
      <c r="G95" s="336" t="s">
        <v>399</v>
      </c>
      <c r="H95" s="336"/>
      <c r="I95" s="336" t="s">
        <v>173</v>
      </c>
      <c r="J95" s="275" t="s">
        <v>47</v>
      </c>
      <c r="K95" s="288">
        <v>2217000</v>
      </c>
      <c r="L95" s="288">
        <v>2217000</v>
      </c>
      <c r="M95" s="289">
        <v>0.02</v>
      </c>
      <c r="N95" s="279">
        <f>1656550.78+18166.04+7000680/387.28+18122.86+18122.86+32122.86+28837.1+8000+8000+8000+20000+20000+20000+20000+20000+19994.32+20000+20000+8000+8000+8000+20000+20010.94+20000+20000</f>
        <v>2078004.2937740141</v>
      </c>
      <c r="O95" s="279">
        <f>133182.536922389+1443.51+1358.52+1365.7+1287.6+1303.23+1287.23+1148.05+1256.99+1198.49+1200+1128.77</f>
        <v>147160.626922389</v>
      </c>
      <c r="P95" s="281">
        <f t="shared" si="4"/>
        <v>138995.70622598589</v>
      </c>
      <c r="Q95" s="291" t="s">
        <v>174</v>
      </c>
      <c r="R95" s="292" t="s">
        <v>424</v>
      </c>
      <c r="T95" s="270"/>
    </row>
    <row r="96" spans="1:20" ht="128.25" customHeight="1" outlineLevel="1" x14ac:dyDescent="0.25">
      <c r="A96" s="274">
        <v>56</v>
      </c>
      <c r="B96" s="352" t="s">
        <v>269</v>
      </c>
      <c r="C96" s="275" t="s">
        <v>270</v>
      </c>
      <c r="D96" s="275" t="s">
        <v>110</v>
      </c>
      <c r="E96" s="275" t="s">
        <v>462</v>
      </c>
      <c r="F96" s="275" t="s">
        <v>570</v>
      </c>
      <c r="G96" s="278" t="s">
        <v>423</v>
      </c>
      <c r="H96" s="275" t="s">
        <v>571</v>
      </c>
      <c r="I96" s="336" t="s">
        <v>271</v>
      </c>
      <c r="J96" s="275" t="s">
        <v>25</v>
      </c>
      <c r="K96" s="288">
        <f>4199559.68+12720691.2+1113060.48+1966688.64</f>
        <v>20000000</v>
      </c>
      <c r="L96" s="288">
        <f>K96</f>
        <v>20000000</v>
      </c>
      <c r="M96" s="289" t="s">
        <v>272</v>
      </c>
      <c r="N96" s="279"/>
      <c r="O96" s="440">
        <f>77849.88+103888.1+413918.01+520635+494848.41+410713.32</f>
        <v>2021852.72</v>
      </c>
      <c r="P96" s="281">
        <f t="shared" si="4"/>
        <v>20000000</v>
      </c>
      <c r="Q96" s="291" t="s">
        <v>273</v>
      </c>
      <c r="R96" s="283" t="s">
        <v>424</v>
      </c>
      <c r="T96" s="270"/>
    </row>
    <row r="97" spans="1:20" s="269" customFormat="1" ht="75" customHeight="1" outlineLevel="1" x14ac:dyDescent="0.25">
      <c r="A97" s="365"/>
      <c r="B97" s="346" t="s">
        <v>480</v>
      </c>
      <c r="C97" s="336" t="s">
        <v>572</v>
      </c>
      <c r="D97" s="275" t="s">
        <v>408</v>
      </c>
      <c r="E97" s="275" t="s">
        <v>573</v>
      </c>
      <c r="F97" s="275" t="s">
        <v>484</v>
      </c>
      <c r="G97" s="278" t="s">
        <v>399</v>
      </c>
      <c r="H97" s="275"/>
      <c r="I97" s="275" t="s">
        <v>486</v>
      </c>
      <c r="J97" s="275" t="s">
        <v>2</v>
      </c>
      <c r="K97" s="279">
        <v>250000000</v>
      </c>
      <c r="L97" s="279">
        <v>250000000</v>
      </c>
      <c r="M97" s="368" t="s">
        <v>574</v>
      </c>
      <c r="N97" s="411"/>
      <c r="O97" s="411"/>
      <c r="P97" s="378"/>
      <c r="Q97" s="291"/>
      <c r="R97" s="283" t="s">
        <v>426</v>
      </c>
      <c r="S97" s="284"/>
      <c r="T97" s="270"/>
    </row>
    <row r="98" spans="1:20" s="286" customFormat="1" ht="38.25" customHeight="1" outlineLevel="1" x14ac:dyDescent="0.25">
      <c r="A98" s="335">
        <v>57</v>
      </c>
      <c r="B98" s="354" t="s">
        <v>175</v>
      </c>
      <c r="C98" s="337" t="s">
        <v>176</v>
      </c>
      <c r="D98" s="337"/>
      <c r="E98" s="318" t="s">
        <v>330</v>
      </c>
      <c r="F98" s="318" t="s">
        <v>330</v>
      </c>
      <c r="G98" s="278" t="s">
        <v>575</v>
      </c>
      <c r="H98" s="318"/>
      <c r="I98" s="318" t="s">
        <v>177</v>
      </c>
      <c r="J98" s="329" t="s">
        <v>47</v>
      </c>
      <c r="K98" s="421">
        <v>237758.39</v>
      </c>
      <c r="L98" s="279">
        <v>237758.39</v>
      </c>
      <c r="M98" s="353"/>
      <c r="N98" s="279"/>
      <c r="O98" s="279"/>
      <c r="P98" s="421">
        <f t="shared" si="4"/>
        <v>237758.39</v>
      </c>
      <c r="Q98" s="337" t="s">
        <v>71</v>
      </c>
      <c r="R98" s="283" t="s">
        <v>424</v>
      </c>
      <c r="S98" s="285"/>
      <c r="T98" s="270"/>
    </row>
    <row r="99" spans="1:20" s="286" customFormat="1" ht="45" customHeight="1" outlineLevel="1" x14ac:dyDescent="0.25">
      <c r="A99" s="326"/>
      <c r="B99" s="355"/>
      <c r="C99" s="341"/>
      <c r="D99" s="341"/>
      <c r="E99" s="327"/>
      <c r="F99" s="327"/>
      <c r="G99" s="278" t="s">
        <v>575</v>
      </c>
      <c r="H99" s="327"/>
      <c r="I99" s="327"/>
      <c r="J99" s="409" t="s">
        <v>2</v>
      </c>
      <c r="K99" s="441">
        <v>28883700</v>
      </c>
      <c r="L99" s="279">
        <v>28883700</v>
      </c>
      <c r="M99" s="368"/>
      <c r="N99" s="279"/>
      <c r="O99" s="279"/>
      <c r="P99" s="421">
        <f t="shared" si="4"/>
        <v>28883700</v>
      </c>
      <c r="Q99" s="341"/>
      <c r="R99" s="324" t="s">
        <v>424</v>
      </c>
      <c r="S99" s="285"/>
      <c r="T99" s="270"/>
    </row>
    <row r="100" spans="1:20" s="269" customFormat="1" ht="59.25" customHeight="1" outlineLevel="1" x14ac:dyDescent="0.25">
      <c r="A100" s="365">
        <v>58</v>
      </c>
      <c r="B100" s="346" t="s">
        <v>104</v>
      </c>
      <c r="C100" s="336" t="s">
        <v>105</v>
      </c>
      <c r="D100" s="275" t="s">
        <v>408</v>
      </c>
      <c r="E100" s="275"/>
      <c r="F100" s="275" t="s">
        <v>331</v>
      </c>
      <c r="G100" s="278" t="s">
        <v>575</v>
      </c>
      <c r="H100" s="275"/>
      <c r="I100" s="275" t="s">
        <v>106</v>
      </c>
      <c r="J100" s="275" t="s">
        <v>2</v>
      </c>
      <c r="K100" s="279">
        <v>303444194</v>
      </c>
      <c r="L100" s="411">
        <v>303444194</v>
      </c>
      <c r="M100" s="368"/>
      <c r="N100" s="411"/>
      <c r="O100" s="411"/>
      <c r="P100" s="378">
        <f t="shared" si="4"/>
        <v>303444194</v>
      </c>
      <c r="Q100" s="291" t="s">
        <v>71</v>
      </c>
      <c r="R100" s="283" t="s">
        <v>487</v>
      </c>
      <c r="S100" s="284"/>
      <c r="T100" s="270"/>
    </row>
    <row r="101" spans="1:20" s="270" customFormat="1" ht="54.75" customHeight="1" outlineLevel="1" x14ac:dyDescent="0.25">
      <c r="A101" s="365"/>
      <c r="B101" s="346" t="s">
        <v>454</v>
      </c>
      <c r="C101" s="336" t="s">
        <v>105</v>
      </c>
      <c r="D101" s="275" t="s">
        <v>408</v>
      </c>
      <c r="E101" s="275" t="s">
        <v>576</v>
      </c>
      <c r="F101" s="275" t="s">
        <v>455</v>
      </c>
      <c r="G101" s="278" t="s">
        <v>575</v>
      </c>
      <c r="H101" s="275"/>
      <c r="I101" s="275" t="s">
        <v>456</v>
      </c>
      <c r="J101" s="329" t="s">
        <v>2</v>
      </c>
      <c r="K101" s="279">
        <v>29938264</v>
      </c>
      <c r="L101" s="279">
        <v>29938264</v>
      </c>
      <c r="M101" s="340">
        <v>0</v>
      </c>
      <c r="N101" s="279">
        <f>9000000+1000000+1000000+800000+200000+1000000+1000000+1000000+1000000+1000000+1000000+1000000+1000000</f>
        <v>20000000</v>
      </c>
      <c r="O101" s="279"/>
      <c r="P101" s="378">
        <f t="shared" si="4"/>
        <v>9938264</v>
      </c>
      <c r="Q101" s="291" t="s">
        <v>71</v>
      </c>
      <c r="R101" s="324" t="s">
        <v>424</v>
      </c>
      <c r="S101" s="272"/>
    </row>
    <row r="102" spans="1:20" s="270" customFormat="1" ht="116.25" customHeight="1" outlineLevel="1" x14ac:dyDescent="0.25">
      <c r="A102" s="365"/>
      <c r="B102" s="346" t="s">
        <v>461</v>
      </c>
      <c r="C102" s="336" t="s">
        <v>577</v>
      </c>
      <c r="D102" s="275" t="s">
        <v>408</v>
      </c>
      <c r="E102" s="275" t="s">
        <v>578</v>
      </c>
      <c r="F102" s="275" t="s">
        <v>488</v>
      </c>
      <c r="G102" s="278" t="s">
        <v>399</v>
      </c>
      <c r="H102" s="275"/>
      <c r="I102" s="275" t="s">
        <v>489</v>
      </c>
      <c r="J102" s="329" t="s">
        <v>2</v>
      </c>
      <c r="K102" s="279">
        <v>1343651100</v>
      </c>
      <c r="L102" s="279">
        <v>1343651100</v>
      </c>
      <c r="M102" s="340">
        <v>7.2499999999999995E-2</v>
      </c>
      <c r="N102" s="279"/>
      <c r="O102" s="279"/>
      <c r="P102" s="378">
        <f t="shared" si="4"/>
        <v>1343651100</v>
      </c>
      <c r="Q102" s="291" t="s">
        <v>71</v>
      </c>
      <c r="R102" s="324" t="s">
        <v>426</v>
      </c>
      <c r="S102" s="272"/>
    </row>
    <row r="103" spans="1:20" ht="82.5" customHeight="1" x14ac:dyDescent="0.25">
      <c r="A103" s="274">
        <v>59</v>
      </c>
      <c r="B103" s="352" t="s">
        <v>398</v>
      </c>
      <c r="C103" s="275" t="s">
        <v>399</v>
      </c>
      <c r="D103" s="275" t="s">
        <v>408</v>
      </c>
      <c r="E103" s="275"/>
      <c r="F103" s="275" t="s">
        <v>400</v>
      </c>
      <c r="G103" s="275" t="s">
        <v>399</v>
      </c>
      <c r="H103" s="275"/>
      <c r="I103" s="275" t="s">
        <v>401</v>
      </c>
      <c r="J103" s="275" t="s">
        <v>2</v>
      </c>
      <c r="K103" s="279">
        <v>1600000000</v>
      </c>
      <c r="L103" s="364">
        <v>1600000000</v>
      </c>
      <c r="M103" s="437">
        <v>0.06</v>
      </c>
      <c r="N103" s="364">
        <f>16666667+16666667</f>
        <v>33333334</v>
      </c>
      <c r="O103" s="364">
        <f>14728767+7827397</f>
        <v>22556164</v>
      </c>
      <c r="P103" s="421">
        <f t="shared" si="4"/>
        <v>1566666666</v>
      </c>
      <c r="Q103" s="275" t="s">
        <v>402</v>
      </c>
      <c r="R103" s="283" t="s">
        <v>426</v>
      </c>
      <c r="T103" s="270"/>
    </row>
    <row r="104" spans="1:20" ht="155.25" customHeight="1" x14ac:dyDescent="0.25">
      <c r="A104" s="405">
        <v>60</v>
      </c>
      <c r="B104" s="406" t="s">
        <v>412</v>
      </c>
      <c r="C104" s="275" t="s">
        <v>399</v>
      </c>
      <c r="D104" s="275" t="s">
        <v>408</v>
      </c>
      <c r="E104" s="275" t="s">
        <v>579</v>
      </c>
      <c r="F104" s="276" t="s">
        <v>490</v>
      </c>
      <c r="G104" s="317" t="s">
        <v>399</v>
      </c>
      <c r="H104" s="276"/>
      <c r="I104" s="275" t="s">
        <v>413</v>
      </c>
      <c r="J104" s="275" t="s">
        <v>2</v>
      </c>
      <c r="K104" s="290">
        <v>3500000000</v>
      </c>
      <c r="L104" s="290">
        <v>3500000000</v>
      </c>
      <c r="M104" s="437">
        <v>0.08</v>
      </c>
      <c r="N104" s="442"/>
      <c r="O104" s="442"/>
      <c r="P104" s="421">
        <f t="shared" si="4"/>
        <v>3500000000</v>
      </c>
      <c r="Q104" s="323" t="s">
        <v>414</v>
      </c>
      <c r="R104" s="324" t="s">
        <v>424</v>
      </c>
      <c r="T104" s="270"/>
    </row>
    <row r="105" spans="1:20" s="269" customFormat="1" ht="47.25" customHeight="1" outlineLevel="1" x14ac:dyDescent="0.25">
      <c r="A105" s="405">
        <v>61</v>
      </c>
      <c r="B105" s="276" t="s">
        <v>415</v>
      </c>
      <c r="C105" s="276" t="s">
        <v>399</v>
      </c>
      <c r="D105" s="276" t="s">
        <v>408</v>
      </c>
      <c r="E105" s="276" t="s">
        <v>580</v>
      </c>
      <c r="F105" s="276" t="s">
        <v>581</v>
      </c>
      <c r="G105" s="317" t="s">
        <v>399</v>
      </c>
      <c r="H105" s="443"/>
      <c r="I105" s="276" t="s">
        <v>251</v>
      </c>
      <c r="J105" s="276" t="s">
        <v>2</v>
      </c>
      <c r="K105" s="290">
        <v>2000000000</v>
      </c>
      <c r="L105" s="290">
        <v>2000000000</v>
      </c>
      <c r="M105" s="407">
        <v>1E-4</v>
      </c>
      <c r="N105" s="290">
        <f>122220000+82500000+82500000+165000000</f>
        <v>452220000</v>
      </c>
      <c r="O105" s="290">
        <f>175890.410958904+56590.6+7869.7+22525</f>
        <v>262875.710958904</v>
      </c>
      <c r="P105" s="444">
        <f t="shared" si="4"/>
        <v>1547780000</v>
      </c>
      <c r="Q105" s="323" t="s">
        <v>404</v>
      </c>
      <c r="R105" s="324" t="s">
        <v>424</v>
      </c>
      <c r="S105" s="284"/>
      <c r="T105" s="270"/>
    </row>
    <row r="106" spans="1:20" s="269" customFormat="1" ht="47.25" customHeight="1" outlineLevel="1" x14ac:dyDescent="0.25">
      <c r="A106" s="405">
        <v>62</v>
      </c>
      <c r="B106" s="276" t="s">
        <v>178</v>
      </c>
      <c r="C106" s="276" t="s">
        <v>179</v>
      </c>
      <c r="D106" s="276" t="s">
        <v>416</v>
      </c>
      <c r="E106" s="276" t="s">
        <v>582</v>
      </c>
      <c r="F106" s="276" t="s">
        <v>583</v>
      </c>
      <c r="G106" s="317" t="s">
        <v>399</v>
      </c>
      <c r="H106" s="443"/>
      <c r="I106" s="276" t="s">
        <v>180</v>
      </c>
      <c r="J106" s="276" t="s">
        <v>47</v>
      </c>
      <c r="K106" s="290">
        <v>10000000</v>
      </c>
      <c r="L106" s="290">
        <v>10000000</v>
      </c>
      <c r="M106" s="407" t="s">
        <v>181</v>
      </c>
      <c r="N106" s="290">
        <f>2553676.86+827369+326463360/394.58+827369.24</f>
        <v>5035784.3533833446</v>
      </c>
      <c r="O106" s="290">
        <f>4401844.92047069+51518733/394.58+116784</f>
        <v>4649194.9222954158</v>
      </c>
      <c r="P106" s="444">
        <f>L106-N106</f>
        <v>4964215.6466166554</v>
      </c>
      <c r="Q106" s="323" t="s">
        <v>182</v>
      </c>
      <c r="R106" s="324" t="s">
        <v>424</v>
      </c>
      <c r="S106" s="284"/>
      <c r="T106" s="270"/>
    </row>
    <row r="107" spans="1:20" s="269" customFormat="1" ht="51" customHeight="1" outlineLevel="1" thickBot="1" x14ac:dyDescent="0.3">
      <c r="A107" s="274">
        <v>63</v>
      </c>
      <c r="B107" s="275" t="s">
        <v>178</v>
      </c>
      <c r="C107" s="425" t="s">
        <v>427</v>
      </c>
      <c r="D107" s="425" t="s">
        <v>416</v>
      </c>
      <c r="E107" s="425" t="s">
        <v>584</v>
      </c>
      <c r="F107" s="276" t="s">
        <v>585</v>
      </c>
      <c r="G107" s="276" t="s">
        <v>332</v>
      </c>
      <c r="H107" s="317"/>
      <c r="I107" s="425" t="s">
        <v>183</v>
      </c>
      <c r="J107" s="425" t="s">
        <v>2</v>
      </c>
      <c r="K107" s="279">
        <v>8000000000</v>
      </c>
      <c r="L107" s="279">
        <v>8000000000</v>
      </c>
      <c r="M107" s="280" t="s">
        <v>184</v>
      </c>
      <c r="N107" s="279"/>
      <c r="O107" s="279">
        <f>3496438357+79342466+80657534+79342466+79342466+1315069+216021918+419419179+129470822+248100000+35010000</f>
        <v>4864460277</v>
      </c>
      <c r="P107" s="281">
        <f>L107-N107</f>
        <v>8000000000</v>
      </c>
      <c r="Q107" s="282" t="s">
        <v>185</v>
      </c>
      <c r="R107" s="283" t="s">
        <v>424</v>
      </c>
      <c r="S107" s="284"/>
      <c r="T107" s="270"/>
    </row>
    <row r="108" spans="1:20" s="295" customFormat="1" ht="24.75" customHeight="1" x14ac:dyDescent="0.25">
      <c r="A108" s="380" t="s">
        <v>186</v>
      </c>
      <c r="B108" s="381"/>
      <c r="C108" s="382"/>
      <c r="G108" s="434"/>
      <c r="H108" s="434"/>
      <c r="I108" s="434"/>
      <c r="J108" s="434" t="s">
        <v>25</v>
      </c>
      <c r="K108" s="300">
        <f>SUMIF($J$77:$J$107,J108,$K$77:$K$107)</f>
        <v>41500000</v>
      </c>
      <c r="L108" s="300">
        <f>SUMIF($J$77:$J$107,J108,$L$77:$L$107)</f>
        <v>25563363.809999999</v>
      </c>
      <c r="M108" s="300"/>
      <c r="N108" s="300">
        <f>SUMIF($J$77:$J$107,J108,$N$77:$N$107)</f>
        <v>39996.621703756209</v>
      </c>
      <c r="O108" s="300">
        <f>SUMIF($J$77:$J$107,J108,$O$77:$O$107)</f>
        <v>2241952.6998881819</v>
      </c>
      <c r="P108" s="300">
        <f>SUMIF($J$77:$J$107,J108,$P$77:$P$107)</f>
        <v>25523367.188296244</v>
      </c>
      <c r="Q108" s="384"/>
      <c r="R108" s="385"/>
      <c r="S108" s="272"/>
      <c r="T108" s="270"/>
    </row>
    <row r="109" spans="1:20" s="295" customFormat="1" ht="39" customHeight="1" x14ac:dyDescent="0.25">
      <c r="A109" s="386"/>
      <c r="B109" s="387"/>
      <c r="C109" s="388"/>
      <c r="D109" s="417"/>
      <c r="E109" s="417"/>
      <c r="F109" s="417"/>
      <c r="G109" s="389"/>
      <c r="H109" s="389"/>
      <c r="I109" s="389"/>
      <c r="J109" s="389" t="s">
        <v>2</v>
      </c>
      <c r="K109" s="297">
        <f>SUMIF($J$77:$J$107,J109,$K$77:$K$107)</f>
        <v>22819722102</v>
      </c>
      <c r="L109" s="297">
        <f>SUMIF($J$77:$J$107,J109,$L$77:$L$107)</f>
        <v>22818029888</v>
      </c>
      <c r="M109" s="297"/>
      <c r="N109" s="297">
        <f>SUMIF($J$77:$J$107,J109,$N$77:$N$107)</f>
        <v>706951543.10000002</v>
      </c>
      <c r="O109" s="297">
        <f>SUMIF($J$77:$J$107,J109,$O$77:$O$107)</f>
        <v>5100031938.1809587</v>
      </c>
      <c r="P109" s="297">
        <f>SUMIF($J$77:$J$107,J109,$P$77:$P$107)</f>
        <v>21861078344.900002</v>
      </c>
      <c r="Q109" s="390"/>
      <c r="R109" s="391"/>
      <c r="S109" s="272"/>
      <c r="T109" s="270"/>
    </row>
    <row r="110" spans="1:20" s="295" customFormat="1" ht="39" customHeight="1" x14ac:dyDescent="0.25">
      <c r="A110" s="386"/>
      <c r="B110" s="387"/>
      <c r="C110" s="388"/>
      <c r="D110" s="417"/>
      <c r="E110" s="417"/>
      <c r="F110" s="417"/>
      <c r="G110" s="389"/>
      <c r="H110" s="389"/>
      <c r="I110" s="389"/>
      <c r="J110" s="389" t="s">
        <v>47</v>
      </c>
      <c r="K110" s="297">
        <f>SUMIF($J$77:$J$107,J110,$K$77:$K$107)</f>
        <v>32967799.48</v>
      </c>
      <c r="L110" s="297">
        <f>SUMIF($J$77:$J$107,J110,$L$77:$L$107)</f>
        <v>30293150.079999998</v>
      </c>
      <c r="M110" s="297"/>
      <c r="N110" s="297">
        <f>SUMIF($J$77:$J$107,J110,$N$77:$N$107)</f>
        <v>13393777.003528012</v>
      </c>
      <c r="O110" s="297">
        <f>SUMIF($J$77:$J$107,J110,$O$77:$O$107)</f>
        <v>7073160.3500687564</v>
      </c>
      <c r="P110" s="297">
        <f>SUMIF($J$77:$J$107,J110,$P$77:$P$107)</f>
        <v>16899373.076471988</v>
      </c>
      <c r="Q110" s="390"/>
      <c r="R110" s="391"/>
      <c r="S110" s="272"/>
      <c r="T110" s="270"/>
    </row>
    <row r="111" spans="1:20" s="295" customFormat="1" ht="39" customHeight="1" thickBot="1" x14ac:dyDescent="0.3">
      <c r="A111" s="396"/>
      <c r="B111" s="397"/>
      <c r="C111" s="398"/>
      <c r="D111" s="418"/>
      <c r="E111" s="418"/>
      <c r="F111" s="418"/>
      <c r="G111" s="399"/>
      <c r="H111" s="399"/>
      <c r="I111" s="399"/>
      <c r="J111" s="399" t="s">
        <v>67</v>
      </c>
      <c r="K111" s="298">
        <f>SUMIF($J$77:$J$107,J111,$K$77:$K$107)</f>
        <v>0</v>
      </c>
      <c r="L111" s="298">
        <f>SUMIF($J$77:$J$107,J111,$L$77:$L$107)</f>
        <v>0</v>
      </c>
      <c r="M111" s="298"/>
      <c r="N111" s="298">
        <f>SUMIF($J$77:$J$107,J111,$N$77:$N$107)</f>
        <v>0</v>
      </c>
      <c r="O111" s="298">
        <f>SUMIF($J$77:$J$107,J111,$O$77:$O$107)</f>
        <v>0</v>
      </c>
      <c r="P111" s="298">
        <f>SUMIF($J$77:$J$107,J111,$P$77:$P$107)</f>
        <v>0</v>
      </c>
      <c r="Q111" s="403"/>
      <c r="R111" s="404"/>
      <c r="S111" s="272"/>
      <c r="T111" s="270"/>
    </row>
    <row r="112" spans="1:20" s="286" customFormat="1" ht="156.75" customHeight="1" outlineLevel="1" x14ac:dyDescent="0.25">
      <c r="A112" s="274">
        <v>64</v>
      </c>
      <c r="B112" s="336" t="s">
        <v>0</v>
      </c>
      <c r="C112" s="336" t="s">
        <v>1</v>
      </c>
      <c r="D112" s="372" t="s">
        <v>408</v>
      </c>
      <c r="E112" s="372"/>
      <c r="F112" s="445" t="s">
        <v>333</v>
      </c>
      <c r="G112" s="445" t="s">
        <v>399</v>
      </c>
      <c r="H112" s="445"/>
      <c r="I112" s="445" t="s">
        <v>187</v>
      </c>
      <c r="J112" s="276" t="s">
        <v>2</v>
      </c>
      <c r="K112" s="441">
        <f>3047000000+3000000000</f>
        <v>6047000000</v>
      </c>
      <c r="L112" s="364">
        <v>6000000000</v>
      </c>
      <c r="M112" s="368"/>
      <c r="N112" s="364">
        <f>4439902959+260956717.5+995441267.7+73262192.2+103703140+88648827.6+23704487.9+9999937.1+167000+1814495.5+405741.8+291594+193389.5+167000</f>
        <v>5998658749.8000002</v>
      </c>
      <c r="O112" s="364"/>
      <c r="P112" s="411">
        <f t="shared" ref="P112:P117" si="5">L112-N112</f>
        <v>1341250.1999998093</v>
      </c>
      <c r="Q112" s="446" t="s">
        <v>71</v>
      </c>
      <c r="R112" s="447" t="s">
        <v>426</v>
      </c>
      <c r="S112" s="285"/>
      <c r="T112" s="270"/>
    </row>
    <row r="113" spans="1:20" s="286" customFormat="1" ht="147" customHeight="1" outlineLevel="1" x14ac:dyDescent="0.25">
      <c r="A113" s="274">
        <v>65</v>
      </c>
      <c r="B113" s="336" t="s">
        <v>0</v>
      </c>
      <c r="C113" s="337" t="s">
        <v>7</v>
      </c>
      <c r="D113" s="336" t="s">
        <v>408</v>
      </c>
      <c r="E113" s="336"/>
      <c r="F113" s="408" t="s">
        <v>417</v>
      </c>
      <c r="G113" s="408" t="s">
        <v>399</v>
      </c>
      <c r="H113" s="408"/>
      <c r="I113" s="408" t="s">
        <v>8</v>
      </c>
      <c r="J113" s="275" t="s">
        <v>2</v>
      </c>
      <c r="K113" s="279">
        <v>2000000000</v>
      </c>
      <c r="L113" s="364">
        <v>2000000000</v>
      </c>
      <c r="M113" s="353">
        <v>2.7E-2</v>
      </c>
      <c r="N113" s="364"/>
      <c r="O113" s="281">
        <f>68417269.8+13462993.2+49643.9+1421840.5+38566246.5+491534.9+1119195.4+178355+29883.2+10588.6+3022.3</f>
        <v>123750573.30000001</v>
      </c>
      <c r="P113" s="281">
        <f t="shared" si="5"/>
        <v>2000000000</v>
      </c>
      <c r="Q113" s="446" t="s">
        <v>71</v>
      </c>
      <c r="R113" s="448" t="s">
        <v>426</v>
      </c>
      <c r="S113" s="285"/>
      <c r="T113" s="270"/>
    </row>
    <row r="114" spans="1:20" s="286" customFormat="1" ht="144.75" customHeight="1" outlineLevel="1" x14ac:dyDescent="0.25">
      <c r="A114" s="274">
        <v>66</v>
      </c>
      <c r="B114" s="336" t="s">
        <v>0</v>
      </c>
      <c r="C114" s="347"/>
      <c r="D114" s="330" t="s">
        <v>408</v>
      </c>
      <c r="E114" s="330"/>
      <c r="F114" s="408" t="s">
        <v>418</v>
      </c>
      <c r="G114" s="278" t="s">
        <v>399</v>
      </c>
      <c r="H114" s="408"/>
      <c r="I114" s="408" t="s">
        <v>9</v>
      </c>
      <c r="J114" s="276" t="s">
        <v>2</v>
      </c>
      <c r="K114" s="279">
        <v>2000000000</v>
      </c>
      <c r="L114" s="364">
        <v>2000000000</v>
      </c>
      <c r="M114" s="449">
        <v>5.7000000000000002E-2</v>
      </c>
      <c r="N114" s="364"/>
      <c r="O114" s="364">
        <f>153819379.6+28421448.8+780809.1+528470.5+2614769.3+283790.1+5159868.8+1406739.9</f>
        <v>193015276.10000002</v>
      </c>
      <c r="P114" s="281">
        <f t="shared" si="5"/>
        <v>2000000000</v>
      </c>
      <c r="Q114" s="446" t="s">
        <v>71</v>
      </c>
      <c r="R114" s="448" t="s">
        <v>426</v>
      </c>
      <c r="S114" s="285"/>
      <c r="T114" s="270"/>
    </row>
    <row r="115" spans="1:20" s="286" customFormat="1" ht="168" customHeight="1" outlineLevel="1" x14ac:dyDescent="0.25">
      <c r="A115" s="274">
        <v>67</v>
      </c>
      <c r="B115" s="450" t="s">
        <v>0</v>
      </c>
      <c r="C115" s="341"/>
      <c r="D115" s="323"/>
      <c r="E115" s="323"/>
      <c r="F115" s="278" t="s">
        <v>419</v>
      </c>
      <c r="G115" s="451" t="s">
        <v>399</v>
      </c>
      <c r="H115" s="278"/>
      <c r="I115" s="278" t="s">
        <v>188</v>
      </c>
      <c r="J115" s="276" t="s">
        <v>2</v>
      </c>
      <c r="K115" s="279">
        <v>5000000000</v>
      </c>
      <c r="L115" s="364">
        <v>5000000000</v>
      </c>
      <c r="M115" s="353">
        <v>2.7E-2</v>
      </c>
      <c r="N115" s="364"/>
      <c r="O115" s="364">
        <f>34209157.5+76580313.4+83507353.3+1840160.7</f>
        <v>196136984.89999998</v>
      </c>
      <c r="P115" s="281">
        <f t="shared" si="5"/>
        <v>5000000000</v>
      </c>
      <c r="Q115" s="419" t="s">
        <v>71</v>
      </c>
      <c r="R115" s="420" t="s">
        <v>426</v>
      </c>
      <c r="S115" s="285"/>
      <c r="T115" s="270"/>
    </row>
    <row r="116" spans="1:20" s="286" customFormat="1" ht="162" outlineLevel="1" x14ac:dyDescent="0.25">
      <c r="A116" s="405">
        <v>68</v>
      </c>
      <c r="B116" s="372" t="s">
        <v>3</v>
      </c>
      <c r="C116" s="372" t="s">
        <v>5</v>
      </c>
      <c r="D116" s="372" t="s">
        <v>408</v>
      </c>
      <c r="E116" s="372"/>
      <c r="F116" s="445" t="s">
        <v>334</v>
      </c>
      <c r="G116" s="445" t="s">
        <v>399</v>
      </c>
      <c r="H116" s="445"/>
      <c r="I116" s="445" t="s">
        <v>6</v>
      </c>
      <c r="J116" s="276" t="s">
        <v>2</v>
      </c>
      <c r="K116" s="290">
        <v>562500000</v>
      </c>
      <c r="L116" s="442">
        <v>562500000</v>
      </c>
      <c r="M116" s="449"/>
      <c r="N116" s="442"/>
      <c r="O116" s="442"/>
      <c r="P116" s="371">
        <f t="shared" si="5"/>
        <v>562500000</v>
      </c>
      <c r="Q116" s="452" t="s">
        <v>71</v>
      </c>
      <c r="R116" s="447" t="s">
        <v>426</v>
      </c>
      <c r="S116" s="285"/>
      <c r="T116" s="270"/>
    </row>
    <row r="117" spans="1:20" s="286" customFormat="1" ht="95.25" outlineLevel="1" thickBot="1" x14ac:dyDescent="0.3">
      <c r="A117" s="423">
        <v>69</v>
      </c>
      <c r="B117" s="425" t="s">
        <v>3</v>
      </c>
      <c r="C117" s="425" t="s">
        <v>4</v>
      </c>
      <c r="D117" s="425" t="s">
        <v>408</v>
      </c>
      <c r="E117" s="425"/>
      <c r="F117" s="426"/>
      <c r="G117" s="426" t="s">
        <v>399</v>
      </c>
      <c r="H117" s="426"/>
      <c r="I117" s="426" t="s">
        <v>344</v>
      </c>
      <c r="J117" s="425" t="s">
        <v>2</v>
      </c>
      <c r="K117" s="429">
        <f>2000000000+7300000000</f>
        <v>9300000000</v>
      </c>
      <c r="L117" s="453">
        <f>9024295000</f>
        <v>9024295000</v>
      </c>
      <c r="M117" s="454"/>
      <c r="N117" s="453">
        <f>140537000+5009140+4849511288.30001+293553946.6+277518975.4+298090130.9+261563425.9+273040297.9+246795505.7+231942835.5+200000+276040115.2+210499563.5+221320560.6+300000+193123482.7+199186343.7+185073611.4+184150969.4+170369357.1+151027787.7+90490766.8+32284422.2+11509122.4+4064002+1861938.3+777853.6+3576579+4160398+1285963+3005301+408727.2+3440908.5+14162695+98148+291594+205919+250000+77038+4076501.7+1217140.6+210058+1423990.7+2002160.3</f>
        <v>8849735564.8000088</v>
      </c>
      <c r="O117" s="453">
        <f>34040214.6+16030636.8+1797857.1+7375602.5+3983531.1+11814600.3+22459610.6+9668538.8+11671711.4+6908264.6+1329981.6</f>
        <v>127080549.39999999</v>
      </c>
      <c r="P117" s="430">
        <f t="shared" si="5"/>
        <v>174559435.19999123</v>
      </c>
      <c r="Q117" s="431" t="s">
        <v>71</v>
      </c>
      <c r="R117" s="432" t="s">
        <v>426</v>
      </c>
      <c r="S117" s="285"/>
      <c r="T117" s="270"/>
    </row>
    <row r="118" spans="1:20" s="295" customFormat="1" ht="30" customHeight="1" x14ac:dyDescent="0.25">
      <c r="A118" s="380" t="s">
        <v>189</v>
      </c>
      <c r="B118" s="381"/>
      <c r="C118" s="382"/>
      <c r="D118" s="433"/>
      <c r="E118" s="433"/>
      <c r="F118" s="433"/>
      <c r="G118" s="434"/>
      <c r="H118" s="434"/>
      <c r="I118" s="434"/>
      <c r="J118" s="455" t="s">
        <v>25</v>
      </c>
      <c r="K118" s="299">
        <f>SUMIF($J$112:$J$117,J118,$K$112:$K$117)</f>
        <v>0</v>
      </c>
      <c r="L118" s="299">
        <f>SUMIF($J$112:$J$117,J118,$L$112:$L$117)</f>
        <v>0</v>
      </c>
      <c r="M118" s="299"/>
      <c r="N118" s="299">
        <f>SUMIF($J$112:$J$117,J118,$N$112:$N$117)</f>
        <v>0</v>
      </c>
      <c r="O118" s="299">
        <f>SUMIF($J$112:$J$117,J118,$O$112:$O$117)</f>
        <v>0</v>
      </c>
      <c r="P118" s="299">
        <f>SUMIF($J$112:$J$117,J118,$P$112:$P$117)</f>
        <v>0</v>
      </c>
      <c r="Q118" s="435"/>
      <c r="R118" s="385"/>
      <c r="S118" s="285"/>
      <c r="T118" s="270"/>
    </row>
    <row r="119" spans="1:20" s="295" customFormat="1" ht="27" customHeight="1" x14ac:dyDescent="0.25">
      <c r="A119" s="386"/>
      <c r="B119" s="387"/>
      <c r="C119" s="388"/>
      <c r="D119" s="417"/>
      <c r="E119" s="417"/>
      <c r="F119" s="417"/>
      <c r="G119" s="389"/>
      <c r="H119" s="389"/>
      <c r="I119" s="389"/>
      <c r="J119" s="456" t="s">
        <v>2</v>
      </c>
      <c r="K119" s="299">
        <f>SUMIF($J$112:$J$117,J119,$K$112:$K$117)</f>
        <v>24909500000</v>
      </c>
      <c r="L119" s="297">
        <f>SUMIF($J$112:$J$117,J119,$L$112:$L$117)</f>
        <v>24586795000</v>
      </c>
      <c r="M119" s="297"/>
      <c r="N119" s="297">
        <f>SUMIF($J$112:$J$117,J119,$N$112:$N$117)</f>
        <v>14848394314.60001</v>
      </c>
      <c r="O119" s="297">
        <f>SUMIF($J$112:$J$117,J119,$O$112:$O$117)</f>
        <v>639983383.70000005</v>
      </c>
      <c r="P119" s="297">
        <f>SUMIF($J$112:$J$117,J119,$P$112:$P$117)</f>
        <v>9738400685.399992</v>
      </c>
      <c r="Q119" s="390"/>
      <c r="R119" s="391"/>
      <c r="S119" s="285"/>
      <c r="T119" s="270"/>
    </row>
    <row r="120" spans="1:20" s="295" customFormat="1" ht="28.5" customHeight="1" x14ac:dyDescent="0.25">
      <c r="A120" s="386"/>
      <c r="B120" s="387"/>
      <c r="C120" s="388"/>
      <c r="D120" s="417"/>
      <c r="E120" s="417"/>
      <c r="F120" s="417"/>
      <c r="G120" s="389"/>
      <c r="H120" s="389"/>
      <c r="I120" s="389"/>
      <c r="J120" s="456" t="s">
        <v>47</v>
      </c>
      <c r="K120" s="299">
        <f>SUMIF($J$112:$J$117,J120,$K$112:$K$117)</f>
        <v>0</v>
      </c>
      <c r="L120" s="297">
        <f>SUMIF($J$112:$J$117,J120,$L$112:$L$117)</f>
        <v>0</v>
      </c>
      <c r="M120" s="297"/>
      <c r="N120" s="297">
        <f>SUMIF($J$112:$J$117,J120,$N$112:$N$117)</f>
        <v>0</v>
      </c>
      <c r="O120" s="297">
        <f>SUMIF($J$112:$J$117,J120,$O$112:$O$117)</f>
        <v>0</v>
      </c>
      <c r="P120" s="297">
        <f>SUMIF($J$112:$J$117,J120,$P$112:$P$117)</f>
        <v>0</v>
      </c>
      <c r="Q120" s="390"/>
      <c r="R120" s="391"/>
      <c r="S120" s="272"/>
      <c r="T120" s="270"/>
    </row>
    <row r="121" spans="1:20" s="295" customFormat="1" ht="30" customHeight="1" thickBot="1" x14ac:dyDescent="0.3">
      <c r="A121" s="396"/>
      <c r="B121" s="397"/>
      <c r="C121" s="398"/>
      <c r="D121" s="418"/>
      <c r="E121" s="418"/>
      <c r="F121" s="418"/>
      <c r="G121" s="399"/>
      <c r="H121" s="399"/>
      <c r="I121" s="399"/>
      <c r="J121" s="402" t="s">
        <v>67</v>
      </c>
      <c r="K121" s="298">
        <f>SUMIF($J$112:$J$117,J121,$K$112:$K$117)</f>
        <v>0</v>
      </c>
      <c r="L121" s="298">
        <f>SUMIF($J$112:$J$117,J121,$L$112:$L$117)</f>
        <v>0</v>
      </c>
      <c r="M121" s="298"/>
      <c r="N121" s="298">
        <f>SUMIF($J$112:$J$117,J121,$N$112:$N$117)</f>
        <v>0</v>
      </c>
      <c r="O121" s="298">
        <f>SUMIF($J$112:$J$117,J121,$O$112:$O$117)</f>
        <v>0</v>
      </c>
      <c r="P121" s="298">
        <f>SUMIF($J$112:$J$117,J121,$P$112:$P$117)</f>
        <v>0</v>
      </c>
      <c r="Q121" s="403"/>
      <c r="R121" s="404"/>
      <c r="S121" s="272"/>
      <c r="T121" s="270"/>
    </row>
    <row r="122" spans="1:20" s="286" customFormat="1" ht="121.5" outlineLevel="1" x14ac:dyDescent="0.25">
      <c r="A122" s="405">
        <v>70</v>
      </c>
      <c r="B122" s="457" t="s">
        <v>190</v>
      </c>
      <c r="C122" s="457" t="s">
        <v>191</v>
      </c>
      <c r="D122" s="372" t="s">
        <v>408</v>
      </c>
      <c r="E122" s="445" t="s">
        <v>335</v>
      </c>
      <c r="F122" s="372" t="s">
        <v>586</v>
      </c>
      <c r="G122" s="372" t="s">
        <v>399</v>
      </c>
      <c r="H122" s="408"/>
      <c r="I122" s="445" t="s">
        <v>192</v>
      </c>
      <c r="J122" s="275" t="s">
        <v>2</v>
      </c>
      <c r="K122" s="458">
        <v>574491741</v>
      </c>
      <c r="L122" s="458">
        <v>574491741</v>
      </c>
      <c r="M122" s="459">
        <v>1E-4</v>
      </c>
      <c r="N122" s="458">
        <f>132575017.2</f>
        <v>132575017.2</v>
      </c>
      <c r="O122" s="458">
        <f>85623+14165+39966.7</f>
        <v>139754.70000000001</v>
      </c>
      <c r="P122" s="371">
        <f t="shared" ref="P122:P134" si="6">L122-N122</f>
        <v>441916723.80000001</v>
      </c>
      <c r="Q122" s="452" t="s">
        <v>193</v>
      </c>
      <c r="R122" s="460" t="s">
        <v>426</v>
      </c>
      <c r="S122" s="285"/>
      <c r="T122" s="270"/>
    </row>
    <row r="123" spans="1:20" s="286" customFormat="1" ht="108" outlineLevel="1" x14ac:dyDescent="0.25">
      <c r="A123" s="274">
        <v>71</v>
      </c>
      <c r="B123" s="346" t="s">
        <v>194</v>
      </c>
      <c r="C123" s="346" t="s">
        <v>191</v>
      </c>
      <c r="D123" s="336" t="s">
        <v>408</v>
      </c>
      <c r="E123" s="408" t="s">
        <v>336</v>
      </c>
      <c r="F123" s="336" t="s">
        <v>587</v>
      </c>
      <c r="G123" s="336" t="s">
        <v>399</v>
      </c>
      <c r="H123" s="408"/>
      <c r="I123" s="408" t="s">
        <v>195</v>
      </c>
      <c r="J123" s="275" t="s">
        <v>2</v>
      </c>
      <c r="K123" s="441">
        <v>98612371</v>
      </c>
      <c r="L123" s="421">
        <v>98612371</v>
      </c>
      <c r="M123" s="340">
        <v>1E-4</v>
      </c>
      <c r="N123" s="421"/>
      <c r="O123" s="421">
        <v>17060</v>
      </c>
      <c r="P123" s="378">
        <f t="shared" si="6"/>
        <v>98612371</v>
      </c>
      <c r="Q123" s="446" t="s">
        <v>196</v>
      </c>
      <c r="R123" s="420" t="s">
        <v>426</v>
      </c>
      <c r="S123" s="285"/>
      <c r="T123" s="270"/>
    </row>
    <row r="124" spans="1:20" s="286" customFormat="1" ht="108" outlineLevel="1" x14ac:dyDescent="0.25">
      <c r="A124" s="274">
        <v>72</v>
      </c>
      <c r="B124" s="346" t="s">
        <v>197</v>
      </c>
      <c r="C124" s="346" t="s">
        <v>191</v>
      </c>
      <c r="D124" s="336" t="s">
        <v>408</v>
      </c>
      <c r="E124" s="408" t="s">
        <v>337</v>
      </c>
      <c r="F124" s="336" t="s">
        <v>587</v>
      </c>
      <c r="G124" s="336" t="s">
        <v>399</v>
      </c>
      <c r="H124" s="408"/>
      <c r="I124" s="408" t="s">
        <v>198</v>
      </c>
      <c r="J124" s="275" t="s">
        <v>2</v>
      </c>
      <c r="K124" s="441">
        <v>60132468</v>
      </c>
      <c r="L124" s="421">
        <v>60132468</v>
      </c>
      <c r="M124" s="340">
        <v>1E-4</v>
      </c>
      <c r="N124" s="421">
        <f>4625574.5+4625574.5+4625574.5+4625574.5+4625575+4625575+4625575+4625575+4625575+4625575+4625575+4625575+4625570</f>
        <v>60132468</v>
      </c>
      <c r="O124" s="421">
        <f>10367+1511.2+1400+1500+1500+1000+20000+1000</f>
        <v>38278.199999999997</v>
      </c>
      <c r="P124" s="378">
        <f t="shared" si="6"/>
        <v>0</v>
      </c>
      <c r="Q124" s="446" t="s">
        <v>199</v>
      </c>
      <c r="R124" s="420" t="s">
        <v>485</v>
      </c>
      <c r="S124" s="287"/>
      <c r="T124" s="270"/>
    </row>
    <row r="125" spans="1:20" s="286" customFormat="1" ht="108" outlineLevel="1" x14ac:dyDescent="0.25">
      <c r="A125" s="274">
        <v>73</v>
      </c>
      <c r="B125" s="346" t="s">
        <v>200</v>
      </c>
      <c r="C125" s="346" t="s">
        <v>191</v>
      </c>
      <c r="D125" s="336" t="s">
        <v>408</v>
      </c>
      <c r="E125" s="408" t="s">
        <v>338</v>
      </c>
      <c r="F125" s="336" t="s">
        <v>588</v>
      </c>
      <c r="G125" s="336" t="s">
        <v>399</v>
      </c>
      <c r="H125" s="408"/>
      <c r="I125" s="408" t="s">
        <v>201</v>
      </c>
      <c r="J125" s="275" t="s">
        <v>2</v>
      </c>
      <c r="K125" s="279">
        <f>9500000+12453199</f>
        <v>21953199</v>
      </c>
      <c r="L125" s="421">
        <f>9500000+12453199</f>
        <v>21953199</v>
      </c>
      <c r="M125" s="340">
        <v>1E-4</v>
      </c>
      <c r="N125" s="421"/>
      <c r="O125" s="421">
        <v>3720</v>
      </c>
      <c r="P125" s="378">
        <f t="shared" si="6"/>
        <v>21953199</v>
      </c>
      <c r="Q125" s="446" t="s">
        <v>202</v>
      </c>
      <c r="R125" s="420" t="s">
        <v>426</v>
      </c>
      <c r="S125" s="287"/>
      <c r="T125" s="270"/>
    </row>
    <row r="126" spans="1:20" s="286" customFormat="1" ht="129.75" customHeight="1" outlineLevel="1" x14ac:dyDescent="0.25">
      <c r="A126" s="274">
        <v>74</v>
      </c>
      <c r="B126" s="346" t="s">
        <v>203</v>
      </c>
      <c r="C126" s="346" t="s">
        <v>191</v>
      </c>
      <c r="D126" s="336" t="s">
        <v>408</v>
      </c>
      <c r="E126" s="408" t="s">
        <v>338</v>
      </c>
      <c r="F126" s="336" t="s">
        <v>589</v>
      </c>
      <c r="G126" s="336" t="s">
        <v>399</v>
      </c>
      <c r="H126" s="408"/>
      <c r="I126" s="408" t="s">
        <v>204</v>
      </c>
      <c r="J126" s="275" t="s">
        <v>2</v>
      </c>
      <c r="K126" s="441">
        <v>15801400</v>
      </c>
      <c r="L126" s="421">
        <v>15801400</v>
      </c>
      <c r="M126" s="340">
        <v>1E-4</v>
      </c>
      <c r="N126" s="421"/>
      <c r="O126" s="421">
        <v>3500</v>
      </c>
      <c r="P126" s="378">
        <f t="shared" si="6"/>
        <v>15801400</v>
      </c>
      <c r="Q126" s="446" t="s">
        <v>205</v>
      </c>
      <c r="R126" s="420" t="s">
        <v>426</v>
      </c>
      <c r="S126" s="287"/>
      <c r="T126" s="270"/>
    </row>
    <row r="127" spans="1:20" s="286" customFormat="1" ht="129.75" customHeight="1" outlineLevel="1" x14ac:dyDescent="0.25">
      <c r="A127" s="274">
        <v>75</v>
      </c>
      <c r="B127" s="346" t="s">
        <v>206</v>
      </c>
      <c r="C127" s="346" t="s">
        <v>191</v>
      </c>
      <c r="D127" s="336" t="s">
        <v>408</v>
      </c>
      <c r="E127" s="408" t="s">
        <v>338</v>
      </c>
      <c r="F127" s="336" t="s">
        <v>590</v>
      </c>
      <c r="G127" s="336" t="s">
        <v>399</v>
      </c>
      <c r="H127" s="408"/>
      <c r="I127" s="408" t="s">
        <v>204</v>
      </c>
      <c r="J127" s="275" t="s">
        <v>2</v>
      </c>
      <c r="K127" s="441">
        <v>2554000</v>
      </c>
      <c r="L127" s="421">
        <v>2554000</v>
      </c>
      <c r="M127" s="340">
        <v>1E-4</v>
      </c>
      <c r="N127" s="421"/>
      <c r="O127" s="421">
        <f>500</f>
        <v>500</v>
      </c>
      <c r="P127" s="378">
        <f t="shared" si="6"/>
        <v>2554000</v>
      </c>
      <c r="Q127" s="446" t="s">
        <v>207</v>
      </c>
      <c r="R127" s="420" t="s">
        <v>426</v>
      </c>
      <c r="S127" s="287"/>
      <c r="T127" s="270"/>
    </row>
    <row r="128" spans="1:20" s="286" customFormat="1" ht="129.75" customHeight="1" outlineLevel="1" x14ac:dyDescent="0.25">
      <c r="A128" s="274">
        <v>76</v>
      </c>
      <c r="B128" s="346" t="s">
        <v>208</v>
      </c>
      <c r="C128" s="346" t="s">
        <v>191</v>
      </c>
      <c r="D128" s="336" t="s">
        <v>408</v>
      </c>
      <c r="E128" s="408" t="s">
        <v>338</v>
      </c>
      <c r="F128" s="336" t="s">
        <v>591</v>
      </c>
      <c r="G128" s="336" t="s">
        <v>399</v>
      </c>
      <c r="H128" s="408"/>
      <c r="I128" s="408" t="s">
        <v>209</v>
      </c>
      <c r="J128" s="275" t="s">
        <v>2</v>
      </c>
      <c r="K128" s="441">
        <v>29053320</v>
      </c>
      <c r="L128" s="421">
        <v>29053320</v>
      </c>
      <c r="M128" s="340">
        <v>1E-4</v>
      </c>
      <c r="N128" s="421"/>
      <c r="O128" s="421">
        <f>2000+3000</f>
        <v>5000</v>
      </c>
      <c r="P128" s="378">
        <f t="shared" si="6"/>
        <v>29053320</v>
      </c>
      <c r="Q128" s="446" t="s">
        <v>210</v>
      </c>
      <c r="R128" s="420" t="s">
        <v>426</v>
      </c>
      <c r="S128" s="287"/>
      <c r="T128" s="270"/>
    </row>
    <row r="129" spans="1:20" s="286" customFormat="1" ht="129.75" customHeight="1" outlineLevel="1" x14ac:dyDescent="0.25">
      <c r="A129" s="274">
        <v>77</v>
      </c>
      <c r="B129" s="346" t="s">
        <v>211</v>
      </c>
      <c r="C129" s="346" t="s">
        <v>191</v>
      </c>
      <c r="D129" s="336" t="s">
        <v>408</v>
      </c>
      <c r="E129" s="408" t="s">
        <v>338</v>
      </c>
      <c r="F129" s="336" t="s">
        <v>592</v>
      </c>
      <c r="G129" s="336" t="s">
        <v>399</v>
      </c>
      <c r="H129" s="408"/>
      <c r="I129" s="408" t="s">
        <v>212</v>
      </c>
      <c r="J129" s="275" t="s">
        <v>2</v>
      </c>
      <c r="K129" s="441">
        <v>192064443</v>
      </c>
      <c r="L129" s="421">
        <f>95000000+97064443</f>
        <v>192064443</v>
      </c>
      <c r="M129" s="340">
        <v>1E-4</v>
      </c>
      <c r="N129" s="421">
        <f>65000000+20000000+30000000+10000000+10000000</f>
        <v>135000000</v>
      </c>
      <c r="O129" s="421">
        <f>16100+12200+23933</f>
        <v>52233</v>
      </c>
      <c r="P129" s="378">
        <f t="shared" si="6"/>
        <v>57064443</v>
      </c>
      <c r="Q129" s="446" t="s">
        <v>213</v>
      </c>
      <c r="R129" s="420" t="s">
        <v>424</v>
      </c>
      <c r="S129" s="287"/>
      <c r="T129" s="270"/>
    </row>
    <row r="130" spans="1:20" s="286" customFormat="1" ht="129.75" customHeight="1" outlineLevel="1" x14ac:dyDescent="0.25">
      <c r="A130" s="274">
        <v>78</v>
      </c>
      <c r="B130" s="346" t="s">
        <v>215</v>
      </c>
      <c r="C130" s="346" t="s">
        <v>191</v>
      </c>
      <c r="D130" s="336" t="s">
        <v>408</v>
      </c>
      <c r="E130" s="408" t="s">
        <v>338</v>
      </c>
      <c r="F130" s="336" t="s">
        <v>593</v>
      </c>
      <c r="G130" s="336" t="s">
        <v>399</v>
      </c>
      <c r="H130" s="408"/>
      <c r="I130" s="408" t="s">
        <v>214</v>
      </c>
      <c r="J130" s="275" t="s">
        <v>2</v>
      </c>
      <c r="K130" s="441">
        <v>3469534</v>
      </c>
      <c r="L130" s="421">
        <v>3469534</v>
      </c>
      <c r="M130" s="340">
        <v>1E-4</v>
      </c>
      <c r="N130" s="421">
        <v>266887</v>
      </c>
      <c r="O130" s="421">
        <f>600+86</f>
        <v>686</v>
      </c>
      <c r="P130" s="378">
        <f t="shared" si="6"/>
        <v>3202647</v>
      </c>
      <c r="Q130" s="446" t="s">
        <v>216</v>
      </c>
      <c r="R130" s="420" t="s">
        <v>426</v>
      </c>
      <c r="S130" s="287"/>
      <c r="T130" s="270"/>
    </row>
    <row r="131" spans="1:20" s="286" customFormat="1" ht="129.75" customHeight="1" outlineLevel="1" x14ac:dyDescent="0.25">
      <c r="A131" s="274">
        <v>79</v>
      </c>
      <c r="B131" s="346" t="s">
        <v>217</v>
      </c>
      <c r="C131" s="346" t="s">
        <v>191</v>
      </c>
      <c r="D131" s="336" t="s">
        <v>408</v>
      </c>
      <c r="E131" s="408" t="s">
        <v>338</v>
      </c>
      <c r="F131" s="336" t="s">
        <v>594</v>
      </c>
      <c r="G131" s="336" t="s">
        <v>399</v>
      </c>
      <c r="H131" s="408"/>
      <c r="I131" s="408" t="s">
        <v>218</v>
      </c>
      <c r="J131" s="275" t="s">
        <v>2</v>
      </c>
      <c r="K131" s="441">
        <v>11781702</v>
      </c>
      <c r="L131" s="421">
        <v>11781702</v>
      </c>
      <c r="M131" s="340">
        <v>1E-4</v>
      </c>
      <c r="N131" s="421">
        <f>906285+906285+906285+906285+906285+906285+906285+906285+906285+906285+906285+910000+902567</f>
        <v>11781702</v>
      </c>
      <c r="O131" s="421">
        <f>3000+1500+1500</f>
        <v>6000</v>
      </c>
      <c r="P131" s="378">
        <f t="shared" si="6"/>
        <v>0</v>
      </c>
      <c r="Q131" s="446" t="s">
        <v>219</v>
      </c>
      <c r="R131" s="420" t="s">
        <v>485</v>
      </c>
      <c r="S131" s="287"/>
      <c r="T131" s="270"/>
    </row>
    <row r="132" spans="1:20" s="286" customFormat="1" ht="129.75" customHeight="1" outlineLevel="1" x14ac:dyDescent="0.25">
      <c r="A132" s="274">
        <v>0</v>
      </c>
      <c r="B132" s="346" t="s">
        <v>220</v>
      </c>
      <c r="C132" s="346" t="s">
        <v>191</v>
      </c>
      <c r="D132" s="336" t="s">
        <v>408</v>
      </c>
      <c r="E132" s="408" t="s">
        <v>338</v>
      </c>
      <c r="F132" s="336" t="s">
        <v>593</v>
      </c>
      <c r="G132" s="336" t="s">
        <v>399</v>
      </c>
      <c r="H132" s="408"/>
      <c r="I132" s="408" t="s">
        <v>221</v>
      </c>
      <c r="J132" s="275" t="s">
        <v>2</v>
      </c>
      <c r="K132" s="441">
        <f>112000000+16200000</f>
        <v>128200000</v>
      </c>
      <c r="L132" s="421">
        <f>112000000+16200000</f>
        <v>128200000</v>
      </c>
      <c r="M132" s="340">
        <v>1E-4</v>
      </c>
      <c r="N132" s="421">
        <f>3000000+3000000+4000000</f>
        <v>10000000</v>
      </c>
      <c r="O132" s="421">
        <f>25640+12820+12820+12820+12820</f>
        <v>76920</v>
      </c>
      <c r="P132" s="378">
        <f t="shared" si="6"/>
        <v>118200000</v>
      </c>
      <c r="Q132" s="446" t="s">
        <v>222</v>
      </c>
      <c r="R132" s="420" t="s">
        <v>426</v>
      </c>
      <c r="S132" s="287"/>
      <c r="T132" s="270"/>
    </row>
    <row r="133" spans="1:20" s="286" customFormat="1" ht="129.75" customHeight="1" outlineLevel="1" x14ac:dyDescent="0.25">
      <c r="A133" s="274">
        <v>81</v>
      </c>
      <c r="B133" s="346" t="s">
        <v>223</v>
      </c>
      <c r="C133" s="346" t="s">
        <v>191</v>
      </c>
      <c r="D133" s="336" t="s">
        <v>408</v>
      </c>
      <c r="E133" s="408" t="s">
        <v>338</v>
      </c>
      <c r="F133" s="336" t="s">
        <v>595</v>
      </c>
      <c r="G133" s="336" t="s">
        <v>399</v>
      </c>
      <c r="H133" s="408"/>
      <c r="I133" s="408" t="s">
        <v>224</v>
      </c>
      <c r="J133" s="275" t="s">
        <v>2</v>
      </c>
      <c r="K133" s="441">
        <v>26127500</v>
      </c>
      <c r="L133" s="421">
        <v>26127500</v>
      </c>
      <c r="M133" s="340">
        <v>1E-4</v>
      </c>
      <c r="N133" s="421"/>
      <c r="O133" s="421">
        <f>4530</f>
        <v>4530</v>
      </c>
      <c r="P133" s="378">
        <f t="shared" si="6"/>
        <v>26127500</v>
      </c>
      <c r="Q133" s="446" t="s">
        <v>225</v>
      </c>
      <c r="R133" s="420" t="s">
        <v>426</v>
      </c>
      <c r="S133" s="287"/>
      <c r="T133" s="270"/>
    </row>
    <row r="134" spans="1:20" s="286" customFormat="1" ht="129.75" customHeight="1" outlineLevel="1" x14ac:dyDescent="0.25">
      <c r="A134" s="274">
        <v>82</v>
      </c>
      <c r="B134" s="346" t="s">
        <v>226</v>
      </c>
      <c r="C134" s="346" t="s">
        <v>191</v>
      </c>
      <c r="D134" s="336" t="s">
        <v>408</v>
      </c>
      <c r="E134" s="408" t="s">
        <v>338</v>
      </c>
      <c r="F134" s="336" t="s">
        <v>596</v>
      </c>
      <c r="G134" s="336" t="s">
        <v>399</v>
      </c>
      <c r="H134" s="408"/>
      <c r="I134" s="408" t="s">
        <v>227</v>
      </c>
      <c r="J134" s="275" t="s">
        <v>2</v>
      </c>
      <c r="K134" s="441">
        <v>19297200</v>
      </c>
      <c r="L134" s="421">
        <f>10800000+3440000+1440000+3617200</f>
        <v>19297200</v>
      </c>
      <c r="M134" s="340">
        <v>1E-4</v>
      </c>
      <c r="N134" s="421"/>
      <c r="O134" s="421">
        <f>3000</f>
        <v>3000</v>
      </c>
      <c r="P134" s="378">
        <f t="shared" si="6"/>
        <v>19297200</v>
      </c>
      <c r="Q134" s="446" t="s">
        <v>228</v>
      </c>
      <c r="R134" s="420" t="s">
        <v>487</v>
      </c>
      <c r="S134" s="287"/>
      <c r="T134" s="270"/>
    </row>
    <row r="135" spans="1:20" s="286" customFormat="1" ht="129.75" customHeight="1" outlineLevel="1" x14ac:dyDescent="0.25">
      <c r="A135" s="274">
        <v>83</v>
      </c>
      <c r="B135" s="346" t="s">
        <v>229</v>
      </c>
      <c r="C135" s="346" t="s">
        <v>191</v>
      </c>
      <c r="D135" s="336" t="s">
        <v>408</v>
      </c>
      <c r="E135" s="408" t="s">
        <v>338</v>
      </c>
      <c r="F135" s="336" t="s">
        <v>593</v>
      </c>
      <c r="G135" s="336" t="s">
        <v>399</v>
      </c>
      <c r="H135" s="408"/>
      <c r="I135" s="408" t="s">
        <v>214</v>
      </c>
      <c r="J135" s="275" t="s">
        <v>2</v>
      </c>
      <c r="K135" s="441">
        <v>2164000</v>
      </c>
      <c r="L135" s="421">
        <v>2164000</v>
      </c>
      <c r="M135" s="340">
        <v>1E-4</v>
      </c>
      <c r="N135" s="421">
        <f>166462+166462+165000+167000+166500+166500+67000+265923+100000+200000</f>
        <v>1630847</v>
      </c>
      <c r="O135" s="421">
        <f>370+54.8+100+100+500</f>
        <v>1124.8</v>
      </c>
      <c r="P135" s="378">
        <f>L135-O135</f>
        <v>2162875.2000000002</v>
      </c>
      <c r="Q135" s="446" t="s">
        <v>230</v>
      </c>
      <c r="R135" s="420" t="s">
        <v>424</v>
      </c>
      <c r="S135" s="287"/>
      <c r="T135" s="270"/>
    </row>
    <row r="136" spans="1:20" s="286" customFormat="1" ht="129.75" customHeight="1" outlineLevel="1" x14ac:dyDescent="0.25">
      <c r="A136" s="274">
        <v>84</v>
      </c>
      <c r="B136" s="346" t="s">
        <v>231</v>
      </c>
      <c r="C136" s="346" t="s">
        <v>191</v>
      </c>
      <c r="D136" s="336" t="s">
        <v>408</v>
      </c>
      <c r="E136" s="408" t="s">
        <v>338</v>
      </c>
      <c r="F136" s="336" t="s">
        <v>597</v>
      </c>
      <c r="G136" s="336" t="s">
        <v>399</v>
      </c>
      <c r="H136" s="408"/>
      <c r="I136" s="408" t="s">
        <v>232</v>
      </c>
      <c r="J136" s="275" t="s">
        <v>2</v>
      </c>
      <c r="K136" s="441">
        <v>253504102</v>
      </c>
      <c r="L136" s="421">
        <v>253504102</v>
      </c>
      <c r="M136" s="340">
        <v>1E-4</v>
      </c>
      <c r="N136" s="421">
        <f>19500316+19500316+19500315+19500315+19500315+19500315+19500316+19500316+19500316+19500316+19500316+19500315</f>
        <v>234003787</v>
      </c>
      <c r="O136" s="421">
        <f>5973+6390+6181+6389+6181.4+6390+6390+6390+6389+5407+7015+5059.2+9482.9+6657</f>
        <v>90294.499999999985</v>
      </c>
      <c r="P136" s="378">
        <f t="shared" ref="P136:P142" si="7">L136-N136</f>
        <v>19500315</v>
      </c>
      <c r="Q136" s="446" t="s">
        <v>233</v>
      </c>
      <c r="R136" s="420" t="s">
        <v>424</v>
      </c>
      <c r="S136" s="287"/>
      <c r="T136" s="270"/>
    </row>
    <row r="137" spans="1:20" s="286" customFormat="1" ht="129.75" customHeight="1" outlineLevel="1" x14ac:dyDescent="0.25">
      <c r="A137" s="274">
        <v>85</v>
      </c>
      <c r="B137" s="346" t="s">
        <v>234</v>
      </c>
      <c r="C137" s="346" t="s">
        <v>191</v>
      </c>
      <c r="D137" s="336" t="s">
        <v>408</v>
      </c>
      <c r="E137" s="408" t="s">
        <v>338</v>
      </c>
      <c r="F137" s="336" t="s">
        <v>598</v>
      </c>
      <c r="G137" s="336" t="s">
        <v>399</v>
      </c>
      <c r="H137" s="408"/>
      <c r="I137" s="408" t="s">
        <v>232</v>
      </c>
      <c r="J137" s="275" t="s">
        <v>2</v>
      </c>
      <c r="K137" s="441">
        <v>76200000</v>
      </c>
      <c r="L137" s="421">
        <v>76200000</v>
      </c>
      <c r="M137" s="340">
        <v>1E-4</v>
      </c>
      <c r="N137" s="421"/>
      <c r="O137" s="421">
        <f>7620+5520</f>
        <v>13140</v>
      </c>
      <c r="P137" s="378">
        <f t="shared" si="7"/>
        <v>76200000</v>
      </c>
      <c r="Q137" s="446" t="s">
        <v>235</v>
      </c>
      <c r="R137" s="420" t="s">
        <v>426</v>
      </c>
      <c r="S137" s="287"/>
      <c r="T137" s="270"/>
    </row>
    <row r="138" spans="1:20" s="286" customFormat="1" ht="108" outlineLevel="1" x14ac:dyDescent="0.25">
      <c r="A138" s="274">
        <v>86</v>
      </c>
      <c r="B138" s="346" t="s">
        <v>236</v>
      </c>
      <c r="C138" s="346" t="s">
        <v>191</v>
      </c>
      <c r="D138" s="336" t="s">
        <v>408</v>
      </c>
      <c r="E138" s="408" t="s">
        <v>338</v>
      </c>
      <c r="F138" s="336" t="s">
        <v>594</v>
      </c>
      <c r="G138" s="336" t="s">
        <v>399</v>
      </c>
      <c r="H138" s="408"/>
      <c r="I138" s="408" t="s">
        <v>237</v>
      </c>
      <c r="J138" s="275" t="s">
        <v>2</v>
      </c>
      <c r="K138" s="441">
        <v>50613970</v>
      </c>
      <c r="L138" s="421">
        <v>50613970</v>
      </c>
      <c r="M138" s="340">
        <v>1E-4</v>
      </c>
      <c r="N138" s="421"/>
      <c r="O138" s="421">
        <f>8800+8800</f>
        <v>17600</v>
      </c>
      <c r="P138" s="378">
        <f t="shared" si="7"/>
        <v>50613970</v>
      </c>
      <c r="Q138" s="446" t="s">
        <v>238</v>
      </c>
      <c r="R138" s="420" t="s">
        <v>426</v>
      </c>
      <c r="S138" s="287"/>
      <c r="T138" s="270"/>
    </row>
    <row r="139" spans="1:20" s="286" customFormat="1" ht="108" outlineLevel="1" x14ac:dyDescent="0.25">
      <c r="A139" s="274">
        <v>87</v>
      </c>
      <c r="B139" s="346" t="s">
        <v>239</v>
      </c>
      <c r="C139" s="346" t="s">
        <v>191</v>
      </c>
      <c r="D139" s="336" t="s">
        <v>408</v>
      </c>
      <c r="E139" s="408" t="s">
        <v>338</v>
      </c>
      <c r="F139" s="336" t="s">
        <v>599</v>
      </c>
      <c r="G139" s="336" t="s">
        <v>399</v>
      </c>
      <c r="H139" s="408"/>
      <c r="I139" s="408" t="s">
        <v>240</v>
      </c>
      <c r="J139" s="275" t="s">
        <v>2</v>
      </c>
      <c r="K139" s="441">
        <v>184740000</v>
      </c>
      <c r="L139" s="421">
        <v>184740000</v>
      </c>
      <c r="M139" s="340">
        <v>1E-4</v>
      </c>
      <c r="N139" s="421">
        <f>2400000+2140000</f>
        <v>4540000</v>
      </c>
      <c r="O139" s="421">
        <f>31700</f>
        <v>31700</v>
      </c>
      <c r="P139" s="378">
        <f t="shared" si="7"/>
        <v>180200000</v>
      </c>
      <c r="Q139" s="446" t="s">
        <v>241</v>
      </c>
      <c r="R139" s="420" t="s">
        <v>487</v>
      </c>
      <c r="S139" s="287"/>
      <c r="T139" s="270"/>
    </row>
    <row r="140" spans="1:20" s="286" customFormat="1" ht="108" outlineLevel="1" x14ac:dyDescent="0.25">
      <c r="A140" s="274">
        <v>88</v>
      </c>
      <c r="B140" s="346" t="s">
        <v>242</v>
      </c>
      <c r="C140" s="346" t="s">
        <v>191</v>
      </c>
      <c r="D140" s="336" t="s">
        <v>408</v>
      </c>
      <c r="E140" s="408" t="s">
        <v>338</v>
      </c>
      <c r="F140" s="336" t="s">
        <v>600</v>
      </c>
      <c r="G140" s="336" t="s">
        <v>399</v>
      </c>
      <c r="H140" s="408"/>
      <c r="I140" s="408" t="s">
        <v>243</v>
      </c>
      <c r="J140" s="275" t="s">
        <v>2</v>
      </c>
      <c r="K140" s="441">
        <v>219559596</v>
      </c>
      <c r="L140" s="421">
        <v>219559596</v>
      </c>
      <c r="M140" s="340">
        <v>1E-4</v>
      </c>
      <c r="N140" s="421">
        <f>16889200+16889200+185781196</f>
        <v>219559596</v>
      </c>
      <c r="O140" s="421">
        <f>5294+5294+27550+5533+1000</f>
        <v>44671</v>
      </c>
      <c r="P140" s="378">
        <f t="shared" si="7"/>
        <v>0</v>
      </c>
      <c r="Q140" s="446" t="s">
        <v>396</v>
      </c>
      <c r="R140" s="420" t="s">
        <v>485</v>
      </c>
      <c r="S140" s="287"/>
      <c r="T140" s="270"/>
    </row>
    <row r="141" spans="1:20" s="286" customFormat="1" ht="108" outlineLevel="1" x14ac:dyDescent="0.25">
      <c r="A141" s="274">
        <v>89</v>
      </c>
      <c r="B141" s="346" t="s">
        <v>244</v>
      </c>
      <c r="C141" s="346" t="s">
        <v>191</v>
      </c>
      <c r="D141" s="336" t="s">
        <v>408</v>
      </c>
      <c r="E141" s="408" t="s">
        <v>338</v>
      </c>
      <c r="F141" s="336" t="s">
        <v>599</v>
      </c>
      <c r="G141" s="336" t="s">
        <v>399</v>
      </c>
      <c r="H141" s="408"/>
      <c r="I141" s="408" t="s">
        <v>240</v>
      </c>
      <c r="J141" s="275" t="s">
        <v>2</v>
      </c>
      <c r="K141" s="441">
        <v>29081500</v>
      </c>
      <c r="L141" s="421">
        <v>29081500</v>
      </c>
      <c r="M141" s="340">
        <v>1E-4</v>
      </c>
      <c r="N141" s="421"/>
      <c r="O141" s="421">
        <f>1000+4000+3000+1000+1000</f>
        <v>10000</v>
      </c>
      <c r="P141" s="378">
        <f t="shared" si="7"/>
        <v>29081500</v>
      </c>
      <c r="Q141" s="446" t="s">
        <v>245</v>
      </c>
      <c r="R141" s="420" t="s">
        <v>426</v>
      </c>
      <c r="S141" s="287"/>
      <c r="T141" s="270"/>
    </row>
    <row r="142" spans="1:20" s="286" customFormat="1" ht="123" customHeight="1" outlineLevel="1" thickBot="1" x14ac:dyDescent="0.3">
      <c r="A142" s="274">
        <v>90</v>
      </c>
      <c r="B142" s="424" t="s">
        <v>246</v>
      </c>
      <c r="C142" s="424" t="s">
        <v>191</v>
      </c>
      <c r="D142" s="425" t="s">
        <v>408</v>
      </c>
      <c r="E142" s="426" t="s">
        <v>338</v>
      </c>
      <c r="F142" s="425" t="s">
        <v>162</v>
      </c>
      <c r="G142" s="425" t="s">
        <v>399</v>
      </c>
      <c r="H142" s="426"/>
      <c r="I142" s="426" t="s">
        <v>247</v>
      </c>
      <c r="J142" s="425" t="s">
        <v>2</v>
      </c>
      <c r="K142" s="427">
        <v>12060940</v>
      </c>
      <c r="L142" s="427">
        <v>12060940</v>
      </c>
      <c r="M142" s="340">
        <v>1E-4</v>
      </c>
      <c r="N142" s="427"/>
      <c r="O142" s="427">
        <v>2170</v>
      </c>
      <c r="P142" s="430">
        <f t="shared" si="7"/>
        <v>12060940</v>
      </c>
      <c r="Q142" s="431" t="s">
        <v>248</v>
      </c>
      <c r="R142" s="432" t="s">
        <v>426</v>
      </c>
      <c r="S142" s="287"/>
      <c r="T142" s="270"/>
    </row>
    <row r="143" spans="1:20" s="295" customFormat="1" ht="30" customHeight="1" x14ac:dyDescent="0.25">
      <c r="A143" s="386" t="s">
        <v>395</v>
      </c>
      <c r="B143" s="387"/>
      <c r="C143" s="388"/>
      <c r="D143" s="433"/>
      <c r="E143" s="433"/>
      <c r="F143" s="433"/>
      <c r="G143" s="434"/>
      <c r="H143" s="434"/>
      <c r="I143" s="434"/>
      <c r="J143" s="461" t="s">
        <v>25</v>
      </c>
      <c r="K143" s="393">
        <f>SUMIF($J$122:$J$142,J143,$K$122:$K$142)</f>
        <v>0</v>
      </c>
      <c r="L143" s="299">
        <f>SUMIF($J$112:$J$142,J143,$L$112:$L$142)</f>
        <v>0</v>
      </c>
      <c r="M143" s="300"/>
      <c r="N143" s="299">
        <f>SUMIF($J$122:$J$142,J143,$N$122:$N$142)</f>
        <v>0</v>
      </c>
      <c r="O143" s="299">
        <f>SUMIF($J$112:$J$142,J143,$O$112:$O$142)</f>
        <v>0</v>
      </c>
      <c r="P143" s="299">
        <f>SUMIF($J$112:$J$142,J143,$P$112:$P$142)</f>
        <v>0</v>
      </c>
      <c r="Q143" s="435"/>
      <c r="R143" s="385"/>
      <c r="S143" s="272"/>
      <c r="T143" s="270"/>
    </row>
    <row r="144" spans="1:20" s="295" customFormat="1" ht="27" customHeight="1" x14ac:dyDescent="0.25">
      <c r="A144" s="386"/>
      <c r="B144" s="387"/>
      <c r="C144" s="388"/>
      <c r="D144" s="417"/>
      <c r="E144" s="417"/>
      <c r="F144" s="417"/>
      <c r="G144" s="389"/>
      <c r="H144" s="389"/>
      <c r="I144" s="389"/>
      <c r="J144" s="462" t="s">
        <v>2</v>
      </c>
      <c r="K144" s="297">
        <f>SUMIF($J$122:$J$142,J144,$K$122:$K$142)</f>
        <v>2011462986</v>
      </c>
      <c r="L144" s="297">
        <f>SUMIF($J$122:$J$142,J144,$L$122:$L$142)</f>
        <v>2011462986</v>
      </c>
      <c r="M144" s="297"/>
      <c r="N144" s="297">
        <f>SUMIF($J$122:$J$142,J144,$N$122:$N$142)</f>
        <v>809490304.20000005</v>
      </c>
      <c r="O144" s="297">
        <f>SUMIF($J$122:$J$142,J144,$O$122:$O$142)</f>
        <v>561882.19999999995</v>
      </c>
      <c r="P144" s="297">
        <f>SUMIF($J$122:$J$142,J144,$P$122:$P$142)</f>
        <v>1203602404</v>
      </c>
      <c r="Q144" s="390"/>
      <c r="R144" s="391"/>
      <c r="S144" s="272"/>
      <c r="T144" s="270"/>
    </row>
    <row r="145" spans="1:20" s="295" customFormat="1" ht="28.5" customHeight="1" x14ac:dyDescent="0.25">
      <c r="A145" s="386"/>
      <c r="B145" s="387"/>
      <c r="C145" s="388"/>
      <c r="D145" s="417"/>
      <c r="E145" s="417"/>
      <c r="F145" s="417"/>
      <c r="G145" s="389"/>
      <c r="H145" s="389"/>
      <c r="I145" s="389"/>
      <c r="J145" s="462" t="s">
        <v>47</v>
      </c>
      <c r="K145" s="297">
        <f>SUMIF($J$122:$J$142,J145,$K$122:$K$142)</f>
        <v>0</v>
      </c>
      <c r="L145" s="297">
        <f>SUMIF($J$112:$J$142,J145,$L$112:$L$142)</f>
        <v>0</v>
      </c>
      <c r="M145" s="297"/>
      <c r="N145" s="297">
        <f>SUMIF($J$112:$J$142,J145,$N$112:$N$142)</f>
        <v>0</v>
      </c>
      <c r="O145" s="297">
        <f>SUMIF($J$112:$J$142,J145,$O$112:$O$142)</f>
        <v>0</v>
      </c>
      <c r="P145" s="297">
        <f>SUMIF($J$112:$J$142,J145,$P$112:$P$142)</f>
        <v>0</v>
      </c>
      <c r="Q145" s="390"/>
      <c r="R145" s="391"/>
      <c r="S145" s="272"/>
      <c r="T145" s="270"/>
    </row>
    <row r="146" spans="1:20" s="295" customFormat="1" ht="30" customHeight="1" thickBot="1" x14ac:dyDescent="0.3">
      <c r="A146" s="396"/>
      <c r="B146" s="397"/>
      <c r="C146" s="398"/>
      <c r="D146" s="418"/>
      <c r="E146" s="418"/>
      <c r="F146" s="418"/>
      <c r="G146" s="399"/>
      <c r="H146" s="399"/>
      <c r="I146" s="399"/>
      <c r="J146" s="401" t="s">
        <v>67</v>
      </c>
      <c r="K146" s="298">
        <f>SUMIF($J$122:$J$142,J146,$K$122:$K$142)</f>
        <v>0</v>
      </c>
      <c r="L146" s="298">
        <f>SUMIF($J$112:$J$142,J146,$L$112:$L$142)</f>
        <v>0</v>
      </c>
      <c r="M146" s="298"/>
      <c r="N146" s="298">
        <f>SUMIF($J$112:$J$142,J146,$N$112:$N$142)</f>
        <v>0</v>
      </c>
      <c r="O146" s="298">
        <f>SUMIF($J$112:$J$142,J146,$O$112:$O$142)</f>
        <v>0</v>
      </c>
      <c r="P146" s="298">
        <f>SUMIF($J$112:$J$142,J146,$P$112:$P$142)</f>
        <v>0</v>
      </c>
      <c r="Q146" s="403"/>
      <c r="R146" s="404"/>
      <c r="S146" s="272"/>
      <c r="T146" s="270"/>
    </row>
    <row r="147" spans="1:20" s="295" customFormat="1" ht="15.75" customHeight="1" x14ac:dyDescent="0.25">
      <c r="A147" s="380" t="s">
        <v>249</v>
      </c>
      <c r="B147" s="381"/>
      <c r="C147" s="382"/>
      <c r="D147" s="433"/>
      <c r="E147" s="433"/>
      <c r="F147" s="433"/>
      <c r="G147" s="434"/>
      <c r="H147" s="434"/>
      <c r="I147" s="434"/>
      <c r="J147" s="461" t="s">
        <v>25</v>
      </c>
      <c r="K147" s="299">
        <f>K51+K62+K73+K108+K118+K143</f>
        <v>340755742.28000003</v>
      </c>
      <c r="L147" s="299">
        <f>L51+L62+L73+L108+L118+L143</f>
        <v>147353051.93000001</v>
      </c>
      <c r="M147" s="299">
        <f>M51+M62+M73+M108+M118+M143</f>
        <v>0</v>
      </c>
      <c r="N147" s="299">
        <f>N51+N62+N73+N108+N118+N143</f>
        <v>60953372.794633225</v>
      </c>
      <c r="O147" s="299">
        <f>O51+O62+O73+O108+O118+O143</f>
        <v>23508449.857604608</v>
      </c>
      <c r="P147" s="299">
        <f>P51+P62+P73+P108+P118+P143</f>
        <v>87161247.565366775</v>
      </c>
      <c r="Q147" s="435"/>
      <c r="R147" s="385"/>
      <c r="S147" s="272"/>
      <c r="T147" s="270"/>
    </row>
    <row r="148" spans="1:20" s="295" customFormat="1" ht="17.25" customHeight="1" x14ac:dyDescent="0.25">
      <c r="A148" s="386"/>
      <c r="B148" s="387"/>
      <c r="C148" s="388"/>
      <c r="D148" s="417"/>
      <c r="E148" s="417"/>
      <c r="F148" s="417"/>
      <c r="G148" s="389"/>
      <c r="H148" s="389"/>
      <c r="I148" s="389"/>
      <c r="J148" s="462" t="s">
        <v>2</v>
      </c>
      <c r="K148" s="299">
        <f>K52+K63+K74+K109+K119+K144</f>
        <v>206519010224.71002</v>
      </c>
      <c r="L148" s="299">
        <f>L52+L63+L74+L109+L119+L144</f>
        <v>204998442907.60999</v>
      </c>
      <c r="M148" s="299">
        <f>M52+M63+M74+M109+M119+M144</f>
        <v>0</v>
      </c>
      <c r="N148" s="299">
        <f>N52+N63+N74+N109+N119+N144</f>
        <v>108735001653.08473</v>
      </c>
      <c r="O148" s="299">
        <f>O52+O63+O74+O109+O119+O144</f>
        <v>54705346217.657272</v>
      </c>
      <c r="P148" s="299">
        <f>P52+P63+P74+P109+P119+P144</f>
        <v>96015070976.725281</v>
      </c>
      <c r="Q148" s="390"/>
      <c r="R148" s="391"/>
      <c r="S148" s="272"/>
      <c r="T148" s="270"/>
    </row>
    <row r="149" spans="1:20" s="295" customFormat="1" ht="15" customHeight="1" x14ac:dyDescent="0.25">
      <c r="A149" s="386"/>
      <c r="B149" s="387"/>
      <c r="C149" s="388"/>
      <c r="D149" s="417"/>
      <c r="E149" s="417"/>
      <c r="F149" s="417"/>
      <c r="G149" s="389"/>
      <c r="H149" s="389"/>
      <c r="I149" s="389"/>
      <c r="J149" s="462" t="s">
        <v>47</v>
      </c>
      <c r="K149" s="299">
        <f>K53+K64+K75+K110+K120+K145</f>
        <v>515188263.79999995</v>
      </c>
      <c r="L149" s="299">
        <f>L53+L64+L75+L110+L120+L145</f>
        <v>361544317.03000003</v>
      </c>
      <c r="M149" s="299">
        <f>M53+M64+M75+M110+M120+M145</f>
        <v>0</v>
      </c>
      <c r="N149" s="299">
        <f>N53+N64+N75+N110+N120+N145</f>
        <v>151869676.54721171</v>
      </c>
      <c r="O149" s="299">
        <f>O53+O64+O75+O110+O120+O145</f>
        <v>79592551.819591612</v>
      </c>
      <c r="P149" s="299">
        <f>P53+P64+P75+P110+P120+P145</f>
        <v>209674640.48278829</v>
      </c>
      <c r="Q149" s="390"/>
      <c r="R149" s="391"/>
      <c r="S149" s="272"/>
      <c r="T149" s="270"/>
    </row>
    <row r="150" spans="1:20" s="295" customFormat="1" ht="25.5" customHeight="1" x14ac:dyDescent="0.25">
      <c r="A150" s="386"/>
      <c r="B150" s="387"/>
      <c r="C150" s="388"/>
      <c r="D150" s="417"/>
      <c r="E150" s="417"/>
      <c r="F150" s="417"/>
      <c r="G150" s="389"/>
      <c r="H150" s="389"/>
      <c r="I150" s="389"/>
      <c r="J150" s="462" t="s">
        <v>67</v>
      </c>
      <c r="K150" s="299">
        <f>K54+K65+K76+K111+K121+K146</f>
        <v>31777311969</v>
      </c>
      <c r="L150" s="299">
        <f>L54+L65+L76+L111+L121+L146</f>
        <v>31859249643</v>
      </c>
      <c r="M150" s="299">
        <f>M54+M65+M76+M111+M121+M146</f>
        <v>0</v>
      </c>
      <c r="N150" s="299">
        <f>N54+N65+N76+N111+N121+N146</f>
        <v>13318630440.231791</v>
      </c>
      <c r="O150" s="299">
        <f>O54+O65+O76+O111+O121+O146</f>
        <v>3728665131.7821455</v>
      </c>
      <c r="P150" s="299">
        <f>P54+P65+P76+P111+P121+P146</f>
        <v>18540619202.768208</v>
      </c>
      <c r="Q150" s="394"/>
      <c r="R150" s="395"/>
      <c r="S150" s="272"/>
      <c r="T150" s="270"/>
    </row>
    <row r="151" spans="1:20" s="295" customFormat="1" ht="15" customHeight="1" thickBot="1" x14ac:dyDescent="0.3">
      <c r="A151" s="396"/>
      <c r="B151" s="397"/>
      <c r="C151" s="398"/>
      <c r="D151" s="418"/>
      <c r="E151" s="418"/>
      <c r="F151" s="418"/>
      <c r="G151" s="399"/>
      <c r="H151" s="399"/>
      <c r="I151" s="399"/>
      <c r="J151" s="462" t="s">
        <v>57</v>
      </c>
      <c r="K151" s="299">
        <f>K55</f>
        <v>24086688</v>
      </c>
      <c r="L151" s="299">
        <f>L55</f>
        <v>18384172.012149811</v>
      </c>
      <c r="M151" s="299">
        <f>M55</f>
        <v>0</v>
      </c>
      <c r="N151" s="299">
        <f>N55</f>
        <v>5292032.3060382511</v>
      </c>
      <c r="O151" s="299">
        <f>O55</f>
        <v>3348306.862633937</v>
      </c>
      <c r="P151" s="299">
        <f>P55</f>
        <v>13092139.706111558</v>
      </c>
      <c r="Q151" s="394"/>
      <c r="R151" s="395"/>
      <c r="S151" s="272"/>
      <c r="T151" s="270"/>
    </row>
    <row r="152" spans="1:20" ht="51" customHeight="1" thickBot="1" x14ac:dyDescent="0.3">
      <c r="A152" s="463">
        <v>95</v>
      </c>
      <c r="B152" s="464" t="s">
        <v>601</v>
      </c>
      <c r="C152" s="465" t="s">
        <v>250</v>
      </c>
      <c r="D152" s="466" t="s">
        <v>408</v>
      </c>
      <c r="E152" s="466"/>
      <c r="F152" s="466" t="s">
        <v>339</v>
      </c>
      <c r="G152" s="466" t="s">
        <v>399</v>
      </c>
      <c r="H152" s="466"/>
      <c r="I152" s="466" t="s">
        <v>251</v>
      </c>
      <c r="J152" s="465" t="s">
        <v>2</v>
      </c>
      <c r="K152" s="467">
        <f>834800635300+144000000000+32000000000+132000000000+3500000000+14000000000+2900000000+4000000000</f>
        <v>1167200635300</v>
      </c>
      <c r="L152" s="468">
        <f>834798635300+12095027500+14732486250+11774486250+13492000000+25492000000+15482000000+12375860000+12000000000+13000000000+12000000000+15700000000+17856140000+15664000000+17000000000+14500000000+15500000000+26000000000+14900000000+11999274664+16000725336+11696539543.9-117562.5+1914256066+4468226857+1348282597</f>
        <v>1161789822801.3999</v>
      </c>
      <c r="M152" s="469">
        <v>1E-4</v>
      </c>
      <c r="N152" s="468"/>
      <c r="O152" s="468"/>
      <c r="P152" s="470">
        <f>L152-N152</f>
        <v>1161789822801.3999</v>
      </c>
      <c r="Q152" s="471" t="s">
        <v>71</v>
      </c>
      <c r="R152" s="472"/>
      <c r="T152" s="295"/>
    </row>
    <row r="153" spans="1:20" ht="17.25" x14ac:dyDescent="0.3">
      <c r="B153" s="473" t="s">
        <v>2</v>
      </c>
      <c r="C153" s="474"/>
      <c r="J153" s="476"/>
      <c r="K153" s="301"/>
      <c r="L153" s="301"/>
      <c r="P153" s="478"/>
      <c r="Q153" s="293"/>
      <c r="R153" s="293"/>
    </row>
    <row r="154" spans="1:20" ht="17.25" x14ac:dyDescent="0.3">
      <c r="B154" s="473" t="s">
        <v>47</v>
      </c>
      <c r="C154" s="474">
        <v>383.84</v>
      </c>
      <c r="K154" s="301"/>
      <c r="L154" s="302"/>
      <c r="M154" s="479"/>
      <c r="O154" s="301"/>
      <c r="P154" s="480"/>
      <c r="Q154" s="481"/>
      <c r="R154" s="481"/>
    </row>
    <row r="155" spans="1:20" ht="17.25" x14ac:dyDescent="0.3">
      <c r="B155" s="473" t="s">
        <v>67</v>
      </c>
      <c r="C155" s="482">
        <v>2.5909</v>
      </c>
      <c r="L155" s="301"/>
      <c r="O155" s="301"/>
      <c r="P155" s="303"/>
      <c r="Q155" s="483"/>
      <c r="R155" s="483"/>
    </row>
    <row r="156" spans="1:20" ht="17.25" x14ac:dyDescent="0.3">
      <c r="B156" s="473" t="s">
        <v>25</v>
      </c>
      <c r="C156" s="474">
        <v>442.91</v>
      </c>
      <c r="L156" s="302"/>
      <c r="O156" s="301"/>
      <c r="P156" s="302"/>
      <c r="Q156" s="483"/>
      <c r="R156" s="483"/>
    </row>
    <row r="157" spans="1:20" ht="17.25" x14ac:dyDescent="0.3">
      <c r="B157" s="473" t="s">
        <v>57</v>
      </c>
      <c r="C157" s="474">
        <v>522.95000000000005</v>
      </c>
      <c r="O157" s="293"/>
      <c r="P157" s="301"/>
      <c r="Q157" s="270"/>
      <c r="R157" s="270"/>
    </row>
    <row r="158" spans="1:20" x14ac:dyDescent="0.25">
      <c r="Q158" s="270"/>
      <c r="R158" s="270"/>
    </row>
    <row r="159" spans="1:20" x14ac:dyDescent="0.25">
      <c r="P159" s="303"/>
    </row>
    <row r="160" spans="1:20" x14ac:dyDescent="0.25">
      <c r="L160" s="303"/>
      <c r="O160" s="301"/>
      <c r="P160" s="303"/>
    </row>
    <row r="161" spans="2:20" ht="14.25" x14ac:dyDescent="0.25">
      <c r="B161" s="484"/>
      <c r="C161" s="485"/>
      <c r="F161" s="484"/>
      <c r="G161" s="485"/>
      <c r="P161" s="301"/>
    </row>
    <row r="162" spans="2:20" x14ac:dyDescent="0.25">
      <c r="C162" s="293"/>
      <c r="F162" s="308"/>
      <c r="G162" s="293"/>
      <c r="P162" s="301"/>
    </row>
    <row r="163" spans="2:20" x14ac:dyDescent="0.25">
      <c r="C163" s="293"/>
      <c r="D163" s="293"/>
      <c r="E163" s="293"/>
      <c r="F163" s="308"/>
      <c r="G163" s="293"/>
    </row>
    <row r="164" spans="2:20" x14ac:dyDescent="0.25">
      <c r="C164" s="293"/>
      <c r="D164" s="293"/>
      <c r="E164" s="293"/>
      <c r="F164" s="308"/>
      <c r="G164" s="293"/>
    </row>
    <row r="165" spans="2:20" x14ac:dyDescent="0.25">
      <c r="C165" s="293"/>
      <c r="D165" s="293"/>
      <c r="E165" s="293"/>
      <c r="F165" s="308"/>
      <c r="G165" s="293"/>
      <c r="P165" s="301"/>
    </row>
    <row r="166" spans="2:20" s="302" customFormat="1" ht="14.25" x14ac:dyDescent="0.25">
      <c r="B166" s="308"/>
      <c r="C166" s="293"/>
      <c r="D166" s="293"/>
      <c r="E166" s="293"/>
      <c r="F166" s="308"/>
      <c r="G166" s="485"/>
      <c r="H166" s="475"/>
      <c r="I166" s="273"/>
      <c r="J166" s="273"/>
      <c r="K166" s="273"/>
      <c r="L166" s="273"/>
      <c r="M166" s="477"/>
      <c r="N166" s="273"/>
      <c r="O166" s="273"/>
      <c r="P166" s="301"/>
      <c r="Q166" s="273"/>
      <c r="R166" s="273"/>
      <c r="S166" s="270"/>
      <c r="T166" s="273"/>
    </row>
    <row r="167" spans="2:20" ht="14.25" x14ac:dyDescent="0.25">
      <c r="C167" s="485"/>
      <c r="D167" s="293"/>
      <c r="E167" s="293"/>
      <c r="F167" s="308"/>
      <c r="G167" s="293"/>
      <c r="P167" s="301"/>
    </row>
    <row r="168" spans="2:20" x14ac:dyDescent="0.25">
      <c r="C168" s="293"/>
      <c r="D168" s="293"/>
      <c r="E168" s="293"/>
      <c r="F168" s="308"/>
      <c r="G168" s="293"/>
      <c r="P168" s="301"/>
    </row>
    <row r="169" spans="2:20" x14ac:dyDescent="0.25">
      <c r="C169" s="293"/>
      <c r="D169" s="293"/>
      <c r="E169" s="293"/>
      <c r="F169" s="308"/>
      <c r="G169" s="293"/>
      <c r="P169" s="301"/>
    </row>
    <row r="170" spans="2:20" x14ac:dyDescent="0.25">
      <c r="C170" s="293"/>
      <c r="D170" s="293"/>
      <c r="E170" s="293"/>
      <c r="F170" s="308"/>
      <c r="G170" s="293"/>
    </row>
    <row r="171" spans="2:20" x14ac:dyDescent="0.25">
      <c r="C171" s="293"/>
      <c r="D171" s="293"/>
      <c r="E171" s="293"/>
      <c r="F171" s="308"/>
      <c r="G171" s="293"/>
    </row>
  </sheetData>
  <sheetProtection formatCells="0" formatColumns="0" formatRows="0"/>
  <protectedRanges>
    <protectedRange password="C670" sqref="F84 L78:R81 A85:G89 A90:E96 F95:H96 F90:G94 Q85:R96 A69:R72 I85:P96 A78:K81" name="Maria"/>
    <protectedRange algorithmName="SHA-512" hashValue="R0m7mG/o0t2+7dbQTzM5iQkFX2amgAS+iAGJudQnnweh07e6LDAbSuhvcwbzcp7drP+HIG4d/wHfMCXiBXmkow==" saltValue="hXh6Ce3lteSj/cvmR3BSBw==" spinCount="100000" sqref="Q103:R105 Q152:R152 Q122:R142 I122:O142 A103:E105 I103:O105 F105:H105 F103:G104 A152 A122:G142 C152:G152 I152:O152" name="Narine"/>
    <protectedRange algorithmName="SHA-512" hashValue="vw/tfZfxCvSE0U6Hm2G3C/Aj3bUp3KdD+IHhHinfC+crRPhv3Uapv1zQ/dMQFE5wwqt30lhFdhsH6enTApEPhg==" saltValue="AJSG7Dc7ySbRZF9wPd6fsA==" spinCount="100000" sqref="Q105:R107 G66:N66 E106 A66:F67 G67:O67 A105:D107 E105:F105 E107:O107 G105:O106 Q66:R67" name="Nara"/>
    <protectedRange algorithmName="SHA-512" hashValue="2hnhy85Hze6pXZTujHMyiGA7lE9yapdzAMEgpTAQUbEvX5wkbgVJAYj8efzABUddHb+HHBXm+QO7FFQ7DdcL0Q==" saltValue="/3Se5MhqYIbXZuII16lL6A==" spinCount="100000" sqref="A77:R77 A112:K117 L112:R117" name="Nona"/>
    <protectedRange algorithmName="SHA-512" hashValue="vw/tfZfxCvSE0U6Hm2G3C/Aj3bUp3KdD+IHhHinfC+crRPhv3Uapv1zQ/dMQFE5wwqt30lhFdhsH6enTApEPhg==" saltValue="AJSG7Dc7ySbRZF9wPd6fsA==" spinCount="100000" sqref="O66" name="Nara_1"/>
    <protectedRange algorithmName="SHA-512" hashValue="R0m7mG/o0t2+7dbQTzM5iQkFX2amgAS+iAGJudQnnweh07e6LDAbSuhvcwbzcp7drP+HIG4d/wHfMCXiBXmkow==" saltValue="hXh6Ce3lteSj/cvmR3BSBw==" spinCount="100000" sqref="B152" name="Narine_1"/>
  </protectedRanges>
  <mergeCells count="154">
    <mergeCell ref="A143:C146"/>
    <mergeCell ref="A147:C151"/>
    <mergeCell ref="H98:H99"/>
    <mergeCell ref="I98:I99"/>
    <mergeCell ref="Q98:Q99"/>
    <mergeCell ref="A108:C111"/>
    <mergeCell ref="C113:C115"/>
    <mergeCell ref="A118:C121"/>
    <mergeCell ref="A98:A99"/>
    <mergeCell ref="B98:B99"/>
    <mergeCell ref="C98:C99"/>
    <mergeCell ref="D98:D99"/>
    <mergeCell ref="E98:E99"/>
    <mergeCell ref="F98:F99"/>
    <mergeCell ref="I80:I81"/>
    <mergeCell ref="Q86:Q88"/>
    <mergeCell ref="A91:A92"/>
    <mergeCell ref="B91:B92"/>
    <mergeCell ref="C91:C92"/>
    <mergeCell ref="D91:D92"/>
    <mergeCell ref="E91:E92"/>
    <mergeCell ref="F91:F92"/>
    <mergeCell ref="H91:H92"/>
    <mergeCell ref="Q91:Q92"/>
    <mergeCell ref="A62:C65"/>
    <mergeCell ref="A73:C76"/>
    <mergeCell ref="A80:A81"/>
    <mergeCell ref="B80:B81"/>
    <mergeCell ref="C80:C81"/>
    <mergeCell ref="H80:H81"/>
    <mergeCell ref="E57:E58"/>
    <mergeCell ref="F57:F58"/>
    <mergeCell ref="H57:H58"/>
    <mergeCell ref="I57:I58"/>
    <mergeCell ref="Q57:Q58"/>
    <mergeCell ref="A60:A61"/>
    <mergeCell ref="C60:C61"/>
    <mergeCell ref="E60:E61"/>
    <mergeCell ref="Q60:Q61"/>
    <mergeCell ref="I47:I48"/>
    <mergeCell ref="Q47:Q48"/>
    <mergeCell ref="D49:D50"/>
    <mergeCell ref="E49:E50"/>
    <mergeCell ref="F49:F50"/>
    <mergeCell ref="A51:C55"/>
    <mergeCell ref="C44:C46"/>
    <mergeCell ref="A47:A48"/>
    <mergeCell ref="C47:C48"/>
    <mergeCell ref="E47:E48"/>
    <mergeCell ref="F47:F48"/>
    <mergeCell ref="H47:H48"/>
    <mergeCell ref="Q36:Q38"/>
    <mergeCell ref="B41:B42"/>
    <mergeCell ref="C41:C42"/>
    <mergeCell ref="D41:D42"/>
    <mergeCell ref="E41:E42"/>
    <mergeCell ref="F41:F42"/>
    <mergeCell ref="H33:H34"/>
    <mergeCell ref="I33:I34"/>
    <mergeCell ref="A36:A38"/>
    <mergeCell ref="C36:C38"/>
    <mergeCell ref="D36:D38"/>
    <mergeCell ref="E36:E38"/>
    <mergeCell ref="F36:F38"/>
    <mergeCell ref="H36:H38"/>
    <mergeCell ref="A33:A34"/>
    <mergeCell ref="B33:B34"/>
    <mergeCell ref="C33:C34"/>
    <mergeCell ref="D33:D34"/>
    <mergeCell ref="E33:E34"/>
    <mergeCell ref="F33:F34"/>
    <mergeCell ref="C29:C30"/>
    <mergeCell ref="D29:D30"/>
    <mergeCell ref="E29:E30"/>
    <mergeCell ref="F29:F30"/>
    <mergeCell ref="C31:C32"/>
    <mergeCell ref="D31:D32"/>
    <mergeCell ref="E31:E32"/>
    <mergeCell ref="F31:F32"/>
    <mergeCell ref="A27:A28"/>
    <mergeCell ref="H27:H28"/>
    <mergeCell ref="I27:I28"/>
    <mergeCell ref="Q27:Q28"/>
    <mergeCell ref="Q23:Q24"/>
    <mergeCell ref="A25:A26"/>
    <mergeCell ref="C25:C28"/>
    <mergeCell ref="D25:D28"/>
    <mergeCell ref="E25:E28"/>
    <mergeCell ref="F25:F28"/>
    <mergeCell ref="H25:H26"/>
    <mergeCell ref="I25:I26"/>
    <mergeCell ref="Q25:Q26"/>
    <mergeCell ref="C23:C24"/>
    <mergeCell ref="D23:D24"/>
    <mergeCell ref="E23:E24"/>
    <mergeCell ref="F23:F24"/>
    <mergeCell ref="H23:H24"/>
    <mergeCell ref="I23:I24"/>
    <mergeCell ref="A21:A22"/>
    <mergeCell ref="H21:H22"/>
    <mergeCell ref="I21:I22"/>
    <mergeCell ref="Q21:Q22"/>
    <mergeCell ref="Q17:Q18"/>
    <mergeCell ref="A19:A20"/>
    <mergeCell ref="C19:C22"/>
    <mergeCell ref="D19:D22"/>
    <mergeCell ref="E19:E22"/>
    <mergeCell ref="F19:F22"/>
    <mergeCell ref="H19:H20"/>
    <mergeCell ref="I19:I20"/>
    <mergeCell ref="Q19:Q20"/>
    <mergeCell ref="I15:I16"/>
    <mergeCell ref="Q15:Q16"/>
    <mergeCell ref="A17:A18"/>
    <mergeCell ref="C17:C18"/>
    <mergeCell ref="D17:D18"/>
    <mergeCell ref="E17:E18"/>
    <mergeCell ref="F17:F18"/>
    <mergeCell ref="H17:H18"/>
    <mergeCell ref="I17:I18"/>
    <mergeCell ref="A15:A16"/>
    <mergeCell ref="C15:C16"/>
    <mergeCell ref="D15:D16"/>
    <mergeCell ref="E15:E16"/>
    <mergeCell ref="F15:F16"/>
    <mergeCell ref="H15:H16"/>
    <mergeCell ref="Q11:Q12"/>
    <mergeCell ref="A13:A14"/>
    <mergeCell ref="C13:C14"/>
    <mergeCell ref="E13:E14"/>
    <mergeCell ref="F13:F14"/>
    <mergeCell ref="H13:H14"/>
    <mergeCell ref="I13:I14"/>
    <mergeCell ref="Q13:Q14"/>
    <mergeCell ref="A11:A12"/>
    <mergeCell ref="C11:C12"/>
    <mergeCell ref="E11:E12"/>
    <mergeCell ref="F11:F12"/>
    <mergeCell ref="H11:H12"/>
    <mergeCell ref="I11:I12"/>
    <mergeCell ref="S5:S6"/>
    <mergeCell ref="A9:A10"/>
    <mergeCell ref="C9:C10"/>
    <mergeCell ref="E9:E10"/>
    <mergeCell ref="F9:F10"/>
    <mergeCell ref="H9:H10"/>
    <mergeCell ref="I9:I10"/>
    <mergeCell ref="Q9:Q10"/>
    <mergeCell ref="A1:Q1"/>
    <mergeCell ref="A2:Q2"/>
    <mergeCell ref="A5:A6"/>
    <mergeCell ref="E5:E6"/>
    <mergeCell ref="F5:F6"/>
    <mergeCell ref="H5:H6"/>
  </mergeCells>
  <conditionalFormatting sqref="L5">
    <cfRule type="cellIs" dxfId="13" priority="7" operator="notEqual">
      <formula>#REF!</formula>
    </cfRule>
  </conditionalFormatting>
  <conditionalFormatting sqref="L100 L6:L35 L37:L40 L47:L49 L43:L45">
    <cfRule type="cellIs" dxfId="12" priority="6" operator="notEqual">
      <formula>#REF!</formula>
    </cfRule>
  </conditionalFormatting>
  <conditionalFormatting sqref="K21">
    <cfRule type="cellIs" dxfId="11" priority="5" operator="notEqual">
      <formula>#REF!</formula>
    </cfRule>
  </conditionalFormatting>
  <conditionalFormatting sqref="L50">
    <cfRule type="cellIs" dxfId="10" priority="4" operator="notEqual">
      <formula>#REF!</formula>
    </cfRule>
  </conditionalFormatting>
  <conditionalFormatting sqref="L83:L84">
    <cfRule type="cellIs" dxfId="9" priority="3" operator="notEqual">
      <formula>#REF!</formula>
    </cfRule>
  </conditionalFormatting>
  <conditionalFormatting sqref="L101:L102">
    <cfRule type="cellIs" dxfId="8" priority="2" operator="notEqual">
      <formula>#REF!</formula>
    </cfRule>
  </conditionalFormatting>
  <conditionalFormatting sqref="K22">
    <cfRule type="cellIs" dxfId="7" priority="1" operator="notEqual">
      <formula>#REF!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63"/>
  <sheetViews>
    <sheetView topLeftCell="B1" zoomScale="90" zoomScaleNormal="90" workbookViewId="0">
      <pane xSplit="1" ySplit="4" topLeftCell="J71" activePane="bottomRight" state="frozen"/>
      <selection activeCell="B1" sqref="B1"/>
      <selection pane="topRight" activeCell="C1" sqref="C1"/>
      <selection pane="bottomLeft" activeCell="B5" sqref="B5"/>
      <selection pane="bottomRight" activeCell="G4" sqref="G4"/>
    </sheetView>
  </sheetViews>
  <sheetFormatPr defaultRowHeight="13.5" outlineLevelRow="1" x14ac:dyDescent="0.25"/>
  <cols>
    <col min="1" max="1" width="6.85546875" style="3" customWidth="1"/>
    <col min="2" max="2" width="30.42578125" style="6" customWidth="1"/>
    <col min="3" max="3" width="30.42578125" style="3" customWidth="1"/>
    <col min="4" max="4" width="20.28515625" style="3" customWidth="1"/>
    <col min="5" max="5" width="25.85546875" style="3" customWidth="1"/>
    <col min="6" max="6" width="22.140625" style="3" customWidth="1"/>
    <col min="7" max="7" width="23" style="3" customWidth="1"/>
    <col min="8" max="8" width="23.28515625" style="170" customWidth="1"/>
    <col min="9" max="9" width="20.140625" style="3" customWidth="1"/>
    <col min="10" max="10" width="16.42578125" style="3" bestFit="1" customWidth="1"/>
    <col min="11" max="11" width="21.28515625" style="3" customWidth="1"/>
    <col min="12" max="12" width="20.28515625" style="3" customWidth="1"/>
    <col min="13" max="13" width="21.7109375" style="173" customWidth="1"/>
    <col min="14" max="14" width="18.5703125" style="3" customWidth="1"/>
    <col min="15" max="15" width="18.85546875" style="3" bestFit="1" customWidth="1"/>
    <col min="16" max="16" width="26.7109375" style="3" bestFit="1" customWidth="1"/>
    <col min="17" max="17" width="26.42578125" style="3" customWidth="1"/>
    <col min="18" max="18" width="23.42578125" style="3" customWidth="1"/>
    <col min="19" max="19" width="23.5703125" style="2" hidden="1" customWidth="1"/>
    <col min="20" max="20" width="21.85546875" style="3" customWidth="1"/>
    <col min="21" max="16384" width="9.140625" style="3"/>
  </cols>
  <sheetData>
    <row r="1" spans="1:20" ht="22.5" x14ac:dyDescent="0.4">
      <c r="A1" s="265" t="s">
        <v>10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1"/>
    </row>
    <row r="2" spans="1:20" ht="38.25" customHeight="1" x14ac:dyDescent="0.4">
      <c r="A2" s="266" t="s">
        <v>602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4"/>
    </row>
    <row r="3" spans="1:20" ht="33.75" customHeight="1" thickBot="1" x14ac:dyDescent="0.3">
      <c r="A3" s="5"/>
      <c r="C3" s="5"/>
      <c r="D3" s="5"/>
      <c r="E3" s="5"/>
      <c r="F3" s="5"/>
      <c r="G3" s="5"/>
      <c r="H3" s="7"/>
      <c r="I3" s="5"/>
      <c r="J3" s="5"/>
      <c r="K3" s="5"/>
      <c r="L3" s="5"/>
      <c r="M3" s="8"/>
      <c r="N3" s="5"/>
      <c r="O3" s="5"/>
      <c r="P3" s="5"/>
      <c r="Q3" s="5"/>
      <c r="R3" s="9"/>
    </row>
    <row r="4" spans="1:20" s="17" customFormat="1" ht="114" customHeight="1" thickBot="1" x14ac:dyDescent="0.3">
      <c r="A4" s="10" t="s">
        <v>11</v>
      </c>
      <c r="B4" s="11" t="s">
        <v>12</v>
      </c>
      <c r="C4" s="11" t="s">
        <v>491</v>
      </c>
      <c r="D4" s="11" t="s">
        <v>492</v>
      </c>
      <c r="E4" s="12" t="s">
        <v>493</v>
      </c>
      <c r="F4" s="11" t="s">
        <v>428</v>
      </c>
      <c r="G4" s="11" t="s">
        <v>421</v>
      </c>
      <c r="H4" s="11" t="s">
        <v>282</v>
      </c>
      <c r="I4" s="11" t="s">
        <v>274</v>
      </c>
      <c r="J4" s="11" t="s">
        <v>13</v>
      </c>
      <c r="K4" s="11" t="s">
        <v>14</v>
      </c>
      <c r="L4" s="11" t="s">
        <v>15</v>
      </c>
      <c r="M4" s="13" t="s">
        <v>16</v>
      </c>
      <c r="N4" s="11" t="s">
        <v>17</v>
      </c>
      <c r="O4" s="11" t="s">
        <v>18</v>
      </c>
      <c r="P4" s="11" t="s">
        <v>19</v>
      </c>
      <c r="Q4" s="11" t="s">
        <v>20</v>
      </c>
      <c r="R4" s="14" t="s">
        <v>422</v>
      </c>
      <c r="S4" s="15" t="s">
        <v>494</v>
      </c>
      <c r="T4" s="16"/>
    </row>
    <row r="5" spans="1:20" ht="75" customHeight="1" outlineLevel="1" x14ac:dyDescent="0.25">
      <c r="A5" s="259">
        <v>1</v>
      </c>
      <c r="B5" s="18" t="s">
        <v>21</v>
      </c>
      <c r="C5" s="18" t="s">
        <v>22</v>
      </c>
      <c r="D5" s="19" t="s">
        <v>23</v>
      </c>
      <c r="E5" s="240" t="s">
        <v>495</v>
      </c>
      <c r="F5" s="264" t="s">
        <v>429</v>
      </c>
      <c r="G5" s="19" t="s">
        <v>423</v>
      </c>
      <c r="H5" s="261" t="s">
        <v>283</v>
      </c>
      <c r="I5" s="19" t="s">
        <v>24</v>
      </c>
      <c r="J5" s="20" t="s">
        <v>25</v>
      </c>
      <c r="K5" s="21">
        <v>7300000</v>
      </c>
      <c r="L5" s="21">
        <f>5822389.5+13412.1+4470.7+716451.75+24588.85+716451.75+2235.35</f>
        <v>7299999.9999999991</v>
      </c>
      <c r="M5" s="22" t="s">
        <v>26</v>
      </c>
      <c r="N5" s="21">
        <f>595000+119000+119000+119000+119000+119000+119000+49036330/412.07+53651150/450.85</f>
        <v>1547000</v>
      </c>
      <c r="O5" s="21">
        <f>652083.5+22907.49+9236384.2/412.07+9927717/450.85</f>
        <v>719425.58994661097</v>
      </c>
      <c r="P5" s="21">
        <f>L5-N5</f>
        <v>5752999.9999999991</v>
      </c>
      <c r="Q5" s="23" t="s">
        <v>430</v>
      </c>
      <c r="R5" s="24" t="s">
        <v>424</v>
      </c>
      <c r="S5" s="264" t="s">
        <v>496</v>
      </c>
      <c r="T5" s="2"/>
    </row>
    <row r="6" spans="1:20" ht="75.75" customHeight="1" outlineLevel="1" x14ac:dyDescent="0.25">
      <c r="A6" s="246"/>
      <c r="B6" s="25" t="s">
        <v>21</v>
      </c>
      <c r="C6" s="25" t="s">
        <v>28</v>
      </c>
      <c r="D6" s="19" t="s">
        <v>23</v>
      </c>
      <c r="E6" s="241"/>
      <c r="F6" s="264"/>
      <c r="G6" s="26" t="s">
        <v>423</v>
      </c>
      <c r="H6" s="263"/>
      <c r="I6" s="26" t="s">
        <v>29</v>
      </c>
      <c r="J6" s="27" t="s">
        <v>25</v>
      </c>
      <c r="K6" s="28">
        <v>7300000</v>
      </c>
      <c r="L6" s="28">
        <v>7299999.9999999981</v>
      </c>
      <c r="M6" s="29" t="s">
        <v>30</v>
      </c>
      <c r="N6" s="28">
        <f>5474999.9+304166.7+304166.7+304166.7+304166.7+304166.7+304167</f>
        <v>7300000.4000000013</v>
      </c>
      <c r="O6" s="28">
        <f>1226756+8356.16+4154.77</f>
        <v>1239266.93</v>
      </c>
      <c r="P6" s="28">
        <f t="shared" ref="P6:P35" si="0">L6-N6</f>
        <v>-0.40000000316649675</v>
      </c>
      <c r="Q6" s="30" t="s">
        <v>31</v>
      </c>
      <c r="R6" s="31" t="s">
        <v>485</v>
      </c>
      <c r="S6" s="264"/>
      <c r="T6" s="2"/>
    </row>
    <row r="7" spans="1:20" ht="79.5" customHeight="1" outlineLevel="1" x14ac:dyDescent="0.25">
      <c r="A7" s="32">
        <v>2</v>
      </c>
      <c r="B7" s="25" t="s">
        <v>21</v>
      </c>
      <c r="C7" s="25" t="s">
        <v>32</v>
      </c>
      <c r="D7" s="26" t="s">
        <v>23</v>
      </c>
      <c r="E7" s="26" t="s">
        <v>497</v>
      </c>
      <c r="F7" s="33" t="s">
        <v>431</v>
      </c>
      <c r="G7" s="26" t="s">
        <v>423</v>
      </c>
      <c r="H7" s="34" t="s">
        <v>284</v>
      </c>
      <c r="I7" s="26" t="s">
        <v>33</v>
      </c>
      <c r="J7" s="27" t="s">
        <v>25</v>
      </c>
      <c r="K7" s="28">
        <v>14060526.73</v>
      </c>
      <c r="L7" s="28">
        <v>14060526.73</v>
      </c>
      <c r="M7" s="35">
        <v>7.4999999999999997E-3</v>
      </c>
      <c r="N7" s="28">
        <f>5858552.73979552+234342.1+234342.1+98055764.9/418.43+98932204.4/422.17+104987604.2/448.01+97345708.3/415.4+96565349.2/412.07+105653180.9/450.85</f>
        <v>7733289.6399421981</v>
      </c>
      <c r="O7" s="28">
        <f>1294472.69934396+40254.3+39195.3+16095956/418.43+15796672.6/422.17+16433280.1/448.01+14866002.9/415.4+14315888.7/412.07+15267404.1/450.85</f>
        <v>1590880.4093953739</v>
      </c>
      <c r="P7" s="28">
        <f t="shared" si="0"/>
        <v>6327237.0900578024</v>
      </c>
      <c r="Q7" s="30" t="s">
        <v>27</v>
      </c>
      <c r="R7" s="31" t="s">
        <v>424</v>
      </c>
      <c r="S7" s="36" t="s">
        <v>498</v>
      </c>
      <c r="T7" s="2"/>
    </row>
    <row r="8" spans="1:20" ht="78.75" customHeight="1" outlineLevel="1" x14ac:dyDescent="0.25">
      <c r="A8" s="32">
        <v>3</v>
      </c>
      <c r="B8" s="25" t="s">
        <v>21</v>
      </c>
      <c r="C8" s="25" t="s">
        <v>34</v>
      </c>
      <c r="D8" s="26" t="s">
        <v>23</v>
      </c>
      <c r="E8" s="26" t="s">
        <v>499</v>
      </c>
      <c r="F8" s="34" t="s">
        <v>434</v>
      </c>
      <c r="G8" s="26" t="s">
        <v>423</v>
      </c>
      <c r="H8" s="37" t="s">
        <v>285</v>
      </c>
      <c r="I8" s="26" t="s">
        <v>35</v>
      </c>
      <c r="J8" s="27" t="s">
        <v>25</v>
      </c>
      <c r="K8" s="28">
        <v>75000000</v>
      </c>
      <c r="L8" s="28"/>
      <c r="M8" s="35" t="s">
        <v>36</v>
      </c>
      <c r="N8" s="28"/>
      <c r="O8" s="28">
        <f>1932812.5+93750+93750+93750+93750+42000937.5/448.01+38943750/415.4+38631562.5/412.07+42267187.5/450.85</f>
        <v>2682812.5</v>
      </c>
      <c r="P8" s="28">
        <f t="shared" si="0"/>
        <v>0</v>
      </c>
      <c r="Q8" s="30" t="s">
        <v>31</v>
      </c>
      <c r="R8" s="31" t="s">
        <v>424</v>
      </c>
      <c r="S8" s="36" t="s">
        <v>500</v>
      </c>
      <c r="T8" s="2"/>
    </row>
    <row r="9" spans="1:20" ht="81.75" customHeight="1" outlineLevel="1" x14ac:dyDescent="0.25">
      <c r="A9" s="245">
        <v>4</v>
      </c>
      <c r="B9" s="38" t="s">
        <v>21</v>
      </c>
      <c r="C9" s="242" t="s">
        <v>34</v>
      </c>
      <c r="D9" s="26" t="s">
        <v>23</v>
      </c>
      <c r="E9" s="240" t="s">
        <v>499</v>
      </c>
      <c r="F9" s="260" t="s">
        <v>434</v>
      </c>
      <c r="G9" s="26" t="s">
        <v>423</v>
      </c>
      <c r="H9" s="250" t="s">
        <v>285</v>
      </c>
      <c r="I9" s="240" t="s">
        <v>37</v>
      </c>
      <c r="J9" s="27" t="s">
        <v>25</v>
      </c>
      <c r="K9" s="28">
        <v>10200000</v>
      </c>
      <c r="L9" s="28">
        <v>1495514.27</v>
      </c>
      <c r="M9" s="39" t="s">
        <v>26</v>
      </c>
      <c r="N9" s="28">
        <f>10475995.7/450.85</f>
        <v>23236.100033270486</v>
      </c>
      <c r="O9" s="28">
        <f>200690.672577969+15587.2+6522152.1/418.43+6580448.3/422.17+6983221.5/448.01+6474922.9/415.4+6488083.3/412.07+7292543.9/450.85</f>
        <v>310546.87288404198</v>
      </c>
      <c r="P9" s="28">
        <f>L9-N9</f>
        <v>1472278.1699667296</v>
      </c>
      <c r="Q9" s="242" t="s">
        <v>31</v>
      </c>
      <c r="R9" s="31" t="s">
        <v>424</v>
      </c>
      <c r="S9" s="36" t="s">
        <v>501</v>
      </c>
      <c r="T9" s="2"/>
    </row>
    <row r="10" spans="1:20" ht="76.5" customHeight="1" outlineLevel="1" x14ac:dyDescent="0.25">
      <c r="A10" s="246"/>
      <c r="B10" s="38" t="s">
        <v>21</v>
      </c>
      <c r="C10" s="243"/>
      <c r="D10" s="26" t="s">
        <v>408</v>
      </c>
      <c r="E10" s="241"/>
      <c r="F10" s="261"/>
      <c r="G10" s="19" t="s">
        <v>425</v>
      </c>
      <c r="H10" s="251"/>
      <c r="I10" s="241"/>
      <c r="J10" s="27" t="s">
        <v>2</v>
      </c>
      <c r="K10" s="28">
        <f>257052669.9+29984200</f>
        <v>287036869.89999998</v>
      </c>
      <c r="L10" s="28">
        <v>282552669.89999998</v>
      </c>
      <c r="M10" s="39" t="s">
        <v>26</v>
      </c>
      <c r="N10" s="28">
        <v>4524211.2</v>
      </c>
      <c r="O10" s="28">
        <f>9774294.3+915305.4+915305.4+915305.4+915305.4+937784.6+1004562.4</f>
        <v>15377862.900000002</v>
      </c>
      <c r="P10" s="28">
        <f>L10-N10</f>
        <v>278028458.69999999</v>
      </c>
      <c r="Q10" s="243"/>
      <c r="R10" s="24" t="s">
        <v>424</v>
      </c>
      <c r="S10" s="40"/>
      <c r="T10" s="2"/>
    </row>
    <row r="11" spans="1:20" ht="76.5" customHeight="1" outlineLevel="1" x14ac:dyDescent="0.25">
      <c r="A11" s="245">
        <v>5</v>
      </c>
      <c r="B11" s="38" t="s">
        <v>21</v>
      </c>
      <c r="C11" s="242" t="s">
        <v>38</v>
      </c>
      <c r="D11" s="26" t="s">
        <v>118</v>
      </c>
      <c r="E11" s="240" t="s">
        <v>502</v>
      </c>
      <c r="F11" s="250" t="s">
        <v>435</v>
      </c>
      <c r="G11" s="26" t="s">
        <v>423</v>
      </c>
      <c r="H11" s="250" t="s">
        <v>286</v>
      </c>
      <c r="I11" s="240" t="s">
        <v>39</v>
      </c>
      <c r="J11" s="27" t="s">
        <v>25</v>
      </c>
      <c r="K11" s="28">
        <v>10000000</v>
      </c>
      <c r="L11" s="28"/>
      <c r="M11" s="39" t="s">
        <v>40</v>
      </c>
      <c r="N11" s="28"/>
      <c r="O11" s="28">
        <v>50000</v>
      </c>
      <c r="P11" s="28">
        <f>L11-N11</f>
        <v>0</v>
      </c>
      <c r="Q11" s="242" t="s">
        <v>41</v>
      </c>
      <c r="R11" s="31" t="s">
        <v>424</v>
      </c>
      <c r="S11" s="36" t="s">
        <v>503</v>
      </c>
      <c r="T11" s="2"/>
    </row>
    <row r="12" spans="1:20" ht="76.5" customHeight="1" outlineLevel="1" x14ac:dyDescent="0.25">
      <c r="A12" s="246"/>
      <c r="B12" s="38" t="s">
        <v>21</v>
      </c>
      <c r="C12" s="243"/>
      <c r="D12" s="26" t="s">
        <v>408</v>
      </c>
      <c r="E12" s="241"/>
      <c r="F12" s="251"/>
      <c r="G12" s="26" t="s">
        <v>425</v>
      </c>
      <c r="H12" s="251"/>
      <c r="I12" s="241"/>
      <c r="J12" s="26" t="s">
        <v>2</v>
      </c>
      <c r="K12" s="28"/>
      <c r="L12" s="28"/>
      <c r="M12" s="39" t="s">
        <v>40</v>
      </c>
      <c r="N12" s="28"/>
      <c r="O12" s="28"/>
      <c r="P12" s="28">
        <f t="shared" si="0"/>
        <v>0</v>
      </c>
      <c r="Q12" s="243"/>
      <c r="R12" s="24" t="s">
        <v>424</v>
      </c>
      <c r="S12" s="40"/>
      <c r="T12" s="2"/>
    </row>
    <row r="13" spans="1:20" ht="76.5" customHeight="1" outlineLevel="1" x14ac:dyDescent="0.25">
      <c r="A13" s="245">
        <v>6</v>
      </c>
      <c r="B13" s="38" t="s">
        <v>21</v>
      </c>
      <c r="C13" s="242" t="s">
        <v>42</v>
      </c>
      <c r="D13" s="26" t="s">
        <v>23</v>
      </c>
      <c r="E13" s="240" t="s">
        <v>462</v>
      </c>
      <c r="F13" s="250" t="s">
        <v>436</v>
      </c>
      <c r="G13" s="26" t="s">
        <v>423</v>
      </c>
      <c r="H13" s="250" t="s">
        <v>287</v>
      </c>
      <c r="I13" s="240" t="s">
        <v>43</v>
      </c>
      <c r="J13" s="27" t="s">
        <v>25</v>
      </c>
      <c r="K13" s="28">
        <v>83000000</v>
      </c>
      <c r="L13" s="28"/>
      <c r="M13" s="39" t="s">
        <v>409</v>
      </c>
      <c r="N13" s="28"/>
      <c r="O13" s="28">
        <f>1930326.40003794+103750+103750+103750+103750+46481037.5/448.01+43097750/415.4+42752262.5/412.07+46775687.5/450.85</f>
        <v>2760326.4000379397</v>
      </c>
      <c r="P13" s="28">
        <f t="shared" si="0"/>
        <v>0</v>
      </c>
      <c r="Q13" s="242" t="s">
        <v>31</v>
      </c>
      <c r="R13" s="31" t="s">
        <v>424</v>
      </c>
      <c r="S13" s="36" t="s">
        <v>504</v>
      </c>
      <c r="T13" s="2"/>
    </row>
    <row r="14" spans="1:20" ht="76.5" customHeight="1" outlineLevel="1" x14ac:dyDescent="0.25">
      <c r="A14" s="246"/>
      <c r="B14" s="38" t="s">
        <v>21</v>
      </c>
      <c r="C14" s="243"/>
      <c r="D14" s="26" t="s">
        <v>408</v>
      </c>
      <c r="E14" s="241"/>
      <c r="F14" s="251"/>
      <c r="G14" s="26" t="s">
        <v>425</v>
      </c>
      <c r="H14" s="251"/>
      <c r="I14" s="241"/>
      <c r="J14" s="26" t="s">
        <v>2</v>
      </c>
      <c r="K14" s="28"/>
      <c r="L14" s="28"/>
      <c r="M14" s="39" t="s">
        <v>409</v>
      </c>
      <c r="N14" s="28"/>
      <c r="O14" s="28"/>
      <c r="P14" s="28">
        <f t="shared" si="0"/>
        <v>0</v>
      </c>
      <c r="Q14" s="243"/>
      <c r="R14" s="24" t="s">
        <v>424</v>
      </c>
      <c r="S14" s="41" t="s">
        <v>505</v>
      </c>
      <c r="T14" s="2"/>
    </row>
    <row r="15" spans="1:20" ht="96.75" customHeight="1" outlineLevel="1" x14ac:dyDescent="0.25">
      <c r="A15" s="245">
        <v>7</v>
      </c>
      <c r="B15" s="38" t="s">
        <v>21</v>
      </c>
      <c r="C15" s="242" t="s">
        <v>44</v>
      </c>
      <c r="D15" s="240" t="s">
        <v>45</v>
      </c>
      <c r="E15" s="240" t="s">
        <v>506</v>
      </c>
      <c r="F15" s="250" t="s">
        <v>437</v>
      </c>
      <c r="G15" s="26" t="s">
        <v>423</v>
      </c>
      <c r="H15" s="250" t="s">
        <v>288</v>
      </c>
      <c r="I15" s="240" t="s">
        <v>46</v>
      </c>
      <c r="J15" s="27" t="s">
        <v>47</v>
      </c>
      <c r="K15" s="28">
        <f>35500000-1434414.8</f>
        <v>34065585.200000003</v>
      </c>
      <c r="L15" s="28">
        <v>34065585.200000003</v>
      </c>
      <c r="M15" s="42" t="s">
        <v>342</v>
      </c>
      <c r="N15" s="28">
        <f>3406558.5+438685248.4/386.33+457603003.3/402.99+440229555/387.69+440172817.8/387.64+440570211/387.99</f>
        <v>9084156.1006601229</v>
      </c>
      <c r="O15" s="28">
        <f>6927866.15+372600334/386.33+433310604.9/402.99+419066992.3/387.69+399479184.6/387.64+334484666/387.99</f>
        <v>11941137.550327882</v>
      </c>
      <c r="P15" s="28">
        <f t="shared" si="0"/>
        <v>24981429.09933988</v>
      </c>
      <c r="Q15" s="242" t="s">
        <v>48</v>
      </c>
      <c r="R15" s="31" t="s">
        <v>424</v>
      </c>
      <c r="S15" s="36" t="s">
        <v>507</v>
      </c>
      <c r="T15" s="2"/>
    </row>
    <row r="16" spans="1:20" ht="81.75" customHeight="1" outlineLevel="1" x14ac:dyDescent="0.25">
      <c r="A16" s="246"/>
      <c r="B16" s="38" t="s">
        <v>21</v>
      </c>
      <c r="C16" s="243"/>
      <c r="D16" s="241"/>
      <c r="E16" s="241"/>
      <c r="F16" s="251"/>
      <c r="G16" s="26" t="s">
        <v>425</v>
      </c>
      <c r="H16" s="251"/>
      <c r="I16" s="241"/>
      <c r="J16" s="26" t="s">
        <v>2</v>
      </c>
      <c r="K16" s="28">
        <v>3680136115.8000002</v>
      </c>
      <c r="L16" s="28">
        <v>3680136115.8000002</v>
      </c>
      <c r="M16" s="42" t="s">
        <v>342</v>
      </c>
      <c r="N16" s="28">
        <f>387003402.1+121967878.3+121967878.3+121967878.3+121967878.2+121967878.3</f>
        <v>996842793.5</v>
      </c>
      <c r="O16" s="28">
        <f>743758864.24+103594252.5+115493072.7+116104685.6+110692047.4+92599057</f>
        <v>1282241979.4400001</v>
      </c>
      <c r="P16" s="28">
        <f t="shared" si="0"/>
        <v>2683293322.3000002</v>
      </c>
      <c r="Q16" s="243"/>
      <c r="R16" s="24" t="s">
        <v>424</v>
      </c>
      <c r="S16" s="43" t="s">
        <v>508</v>
      </c>
      <c r="T16" s="2"/>
    </row>
    <row r="17" spans="1:19" s="2" customFormat="1" ht="66.75" customHeight="1" outlineLevel="1" x14ac:dyDescent="0.25">
      <c r="A17" s="245">
        <v>8</v>
      </c>
      <c r="B17" s="38" t="s">
        <v>21</v>
      </c>
      <c r="C17" s="242" t="s">
        <v>49</v>
      </c>
      <c r="D17" s="240" t="s">
        <v>45</v>
      </c>
      <c r="E17" s="240" t="s">
        <v>509</v>
      </c>
      <c r="F17" s="250" t="s">
        <v>438</v>
      </c>
      <c r="G17" s="26" t="s">
        <v>423</v>
      </c>
      <c r="H17" s="250" t="s">
        <v>289</v>
      </c>
      <c r="I17" s="250" t="s">
        <v>50</v>
      </c>
      <c r="J17" s="27" t="s">
        <v>47</v>
      </c>
      <c r="K17" s="44">
        <f>40000000-2500000-1500000</f>
        <v>36000000</v>
      </c>
      <c r="L17" s="28">
        <v>24556939.620000001</v>
      </c>
      <c r="M17" s="35" t="s">
        <v>342</v>
      </c>
      <c r="N17" s="28">
        <f>329635002.4/388.42+336424290.8/396.42</f>
        <v>1697312.3000877418</v>
      </c>
      <c r="O17" s="28">
        <f>4091306.45123489+373977422.6/403.57+376544951.9/388.42+344941572.7/396.42</f>
        <v>6857548.4512623288</v>
      </c>
      <c r="P17" s="28">
        <f t="shared" si="0"/>
        <v>22859627.319912259</v>
      </c>
      <c r="Q17" s="242" t="s">
        <v>48</v>
      </c>
      <c r="R17" s="31" t="s">
        <v>424</v>
      </c>
      <c r="S17" s="36" t="s">
        <v>510</v>
      </c>
    </row>
    <row r="18" spans="1:19" s="2" customFormat="1" ht="58.5" customHeight="1" outlineLevel="1" x14ac:dyDescent="0.25">
      <c r="A18" s="246"/>
      <c r="B18" s="38" t="s">
        <v>21</v>
      </c>
      <c r="C18" s="243"/>
      <c r="D18" s="241"/>
      <c r="E18" s="241"/>
      <c r="F18" s="251"/>
      <c r="G18" s="26" t="s">
        <v>425</v>
      </c>
      <c r="H18" s="251"/>
      <c r="I18" s="251"/>
      <c r="J18" s="26" t="s">
        <v>2</v>
      </c>
      <c r="K18" s="44">
        <v>1298785286.0000002</v>
      </c>
      <c r="L18" s="28">
        <v>1298785286.0000002</v>
      </c>
      <c r="M18" s="35" t="s">
        <v>342</v>
      </c>
      <c r="N18" s="28">
        <f>563212.2+43274069.1+43274069.2</f>
        <v>87111350.5</v>
      </c>
      <c r="O18" s="28">
        <f>165583419.3+41681454.8+49409773.1+44369647.7</f>
        <v>301044294.90000004</v>
      </c>
      <c r="P18" s="28">
        <f t="shared" si="0"/>
        <v>1211673935.5000002</v>
      </c>
      <c r="Q18" s="243"/>
      <c r="R18" s="24" t="s">
        <v>424</v>
      </c>
      <c r="S18" s="41" t="s">
        <v>511</v>
      </c>
    </row>
    <row r="19" spans="1:19" s="2" customFormat="1" ht="70.5" customHeight="1" outlineLevel="1" x14ac:dyDescent="0.25">
      <c r="A19" s="245">
        <v>9</v>
      </c>
      <c r="B19" s="45" t="s">
        <v>21</v>
      </c>
      <c r="C19" s="242" t="s">
        <v>51</v>
      </c>
      <c r="D19" s="240" t="s">
        <v>45</v>
      </c>
      <c r="E19" s="240" t="s">
        <v>512</v>
      </c>
      <c r="F19" s="263" t="s">
        <v>432</v>
      </c>
      <c r="G19" s="26" t="s">
        <v>423</v>
      </c>
      <c r="H19" s="264" t="s">
        <v>290</v>
      </c>
      <c r="I19" s="250" t="s">
        <v>52</v>
      </c>
      <c r="J19" s="27" t="s">
        <v>47</v>
      </c>
      <c r="K19" s="44">
        <v>23194486</v>
      </c>
      <c r="L19" s="28">
        <v>17242129.98</v>
      </c>
      <c r="M19" s="39" t="s">
        <v>342</v>
      </c>
      <c r="N19" s="28">
        <v>0</v>
      </c>
      <c r="O19" s="28">
        <f>1316813.632+122778919.2/386.33+153358408.7/402.99+182294474.3/387.69+212998140.2/387.64+194009511/387.99</f>
        <v>3534891.7327723759</v>
      </c>
      <c r="P19" s="28">
        <f t="shared" si="0"/>
        <v>17242129.98</v>
      </c>
      <c r="Q19" s="242" t="s">
        <v>48</v>
      </c>
      <c r="R19" s="31" t="s">
        <v>424</v>
      </c>
      <c r="S19" s="41" t="s">
        <v>513</v>
      </c>
    </row>
    <row r="20" spans="1:19" s="2" customFormat="1" ht="66.75" customHeight="1" outlineLevel="1" x14ac:dyDescent="0.25">
      <c r="A20" s="246"/>
      <c r="B20" s="45" t="s">
        <v>21</v>
      </c>
      <c r="C20" s="244"/>
      <c r="D20" s="262"/>
      <c r="E20" s="262"/>
      <c r="F20" s="263"/>
      <c r="G20" s="26" t="s">
        <v>425</v>
      </c>
      <c r="H20" s="264"/>
      <c r="I20" s="251"/>
      <c r="J20" s="26" t="s">
        <v>2</v>
      </c>
      <c r="K20" s="44">
        <f>1973431541.9+126888600</f>
        <v>2100320141.9000001</v>
      </c>
      <c r="L20" s="28">
        <v>2024134238.8</v>
      </c>
      <c r="M20" s="39" t="s">
        <v>342</v>
      </c>
      <c r="N20" s="28">
        <v>91463799.799999997</v>
      </c>
      <c r="O20" s="28">
        <f>119885553.7+36155098.5+43333756.7+53344969.4+61110243.5+55330994.8</f>
        <v>369160616.59999996</v>
      </c>
      <c r="P20" s="28">
        <f t="shared" si="0"/>
        <v>1932670439</v>
      </c>
      <c r="Q20" s="243"/>
      <c r="R20" s="31" t="s">
        <v>424</v>
      </c>
      <c r="S20" s="43" t="s">
        <v>514</v>
      </c>
    </row>
    <row r="21" spans="1:19" s="2" customFormat="1" ht="48" customHeight="1" outlineLevel="1" x14ac:dyDescent="0.25">
      <c r="A21" s="245">
        <v>10</v>
      </c>
      <c r="B21" s="45" t="s">
        <v>53</v>
      </c>
      <c r="C21" s="244"/>
      <c r="D21" s="262"/>
      <c r="E21" s="262"/>
      <c r="F21" s="263"/>
      <c r="G21" s="26" t="s">
        <v>423</v>
      </c>
      <c r="H21" s="250" t="s">
        <v>291</v>
      </c>
      <c r="I21" s="250" t="s">
        <v>52</v>
      </c>
      <c r="J21" s="27" t="s">
        <v>47</v>
      </c>
      <c r="K21" s="28">
        <v>16662617.070000002</v>
      </c>
      <c r="L21" s="28">
        <v>16662617.070000002</v>
      </c>
      <c r="M21" s="39" t="s">
        <v>342</v>
      </c>
      <c r="N21" s="28"/>
      <c r="O21" s="28">
        <f>2194958+182027405/386.38+218562808/403.19+223111756.9/387.69+221137804.8/387.64+(90660885.5+100000000)/388.08</f>
        <v>4845406.6394110024</v>
      </c>
      <c r="P21" s="28">
        <f t="shared" si="0"/>
        <v>16662617.070000002</v>
      </c>
      <c r="Q21" s="242" t="s">
        <v>48</v>
      </c>
      <c r="R21" s="31" t="s">
        <v>424</v>
      </c>
      <c r="S21" s="36" t="s">
        <v>515</v>
      </c>
    </row>
    <row r="22" spans="1:19" s="2" customFormat="1" ht="54.75" customHeight="1" outlineLevel="1" x14ac:dyDescent="0.25">
      <c r="A22" s="246"/>
      <c r="B22" s="45" t="s">
        <v>53</v>
      </c>
      <c r="C22" s="243"/>
      <c r="D22" s="241"/>
      <c r="E22" s="241"/>
      <c r="F22" s="263"/>
      <c r="G22" s="26" t="s">
        <v>425</v>
      </c>
      <c r="H22" s="251"/>
      <c r="I22" s="251"/>
      <c r="J22" s="27" t="s">
        <v>2</v>
      </c>
      <c r="K22" s="28">
        <v>2003005775.2</v>
      </c>
      <c r="L22" s="28">
        <v>2003005775.2</v>
      </c>
      <c r="M22" s="39" t="s">
        <v>342</v>
      </c>
      <c r="N22" s="28"/>
      <c r="O22" s="28">
        <f>238604865.8+56631905+65163658.9+69156989.1+68598623.2+59071780.3</f>
        <v>557227822.29999995</v>
      </c>
      <c r="P22" s="28">
        <f t="shared" si="0"/>
        <v>2003005775.2</v>
      </c>
      <c r="Q22" s="243"/>
      <c r="R22" s="31" t="s">
        <v>424</v>
      </c>
      <c r="S22" s="43" t="s">
        <v>516</v>
      </c>
    </row>
    <row r="23" spans="1:19" s="2" customFormat="1" ht="54.75" customHeight="1" outlineLevel="1" x14ac:dyDescent="0.25">
      <c r="A23" s="46"/>
      <c r="B23" s="38" t="s">
        <v>21</v>
      </c>
      <c r="C23" s="242" t="s">
        <v>481</v>
      </c>
      <c r="D23" s="240" t="s">
        <v>45</v>
      </c>
      <c r="E23" s="240" t="s">
        <v>517</v>
      </c>
      <c r="F23" s="260" t="s">
        <v>482</v>
      </c>
      <c r="G23" s="26" t="s">
        <v>423</v>
      </c>
      <c r="H23" s="250" t="s">
        <v>483</v>
      </c>
      <c r="I23" s="260" t="s">
        <v>483</v>
      </c>
      <c r="J23" s="27" t="s">
        <v>47</v>
      </c>
      <c r="K23" s="44">
        <v>40000000</v>
      </c>
      <c r="L23" s="28">
        <v>100000</v>
      </c>
      <c r="M23" s="39" t="s">
        <v>342</v>
      </c>
      <c r="N23" s="28"/>
      <c r="O23" s="28"/>
      <c r="P23" s="28">
        <f t="shared" si="0"/>
        <v>100000</v>
      </c>
      <c r="Q23" s="242" t="s">
        <v>48</v>
      </c>
      <c r="R23" s="31" t="s">
        <v>424</v>
      </c>
      <c r="S23" s="36" t="s">
        <v>518</v>
      </c>
    </row>
    <row r="24" spans="1:19" s="2" customFormat="1" ht="54.75" customHeight="1" outlineLevel="1" x14ac:dyDescent="0.25">
      <c r="A24" s="46"/>
      <c r="B24" s="38" t="s">
        <v>21</v>
      </c>
      <c r="C24" s="243"/>
      <c r="D24" s="241"/>
      <c r="E24" s="241"/>
      <c r="F24" s="261"/>
      <c r="G24" s="26" t="s">
        <v>425</v>
      </c>
      <c r="H24" s="251"/>
      <c r="I24" s="261"/>
      <c r="J24" s="27" t="s">
        <v>2</v>
      </c>
      <c r="K24" s="44"/>
      <c r="L24" s="28"/>
      <c r="M24" s="39" t="s">
        <v>342</v>
      </c>
      <c r="N24" s="28"/>
      <c r="O24" s="28"/>
      <c r="P24" s="28">
        <f t="shared" si="0"/>
        <v>0</v>
      </c>
      <c r="Q24" s="243"/>
      <c r="R24" s="31" t="s">
        <v>424</v>
      </c>
      <c r="S24" s="43"/>
    </row>
    <row r="25" spans="1:19" s="2" customFormat="1" ht="57.75" customHeight="1" outlineLevel="1" x14ac:dyDescent="0.25">
      <c r="A25" s="245">
        <v>11</v>
      </c>
      <c r="B25" s="45" t="s">
        <v>21</v>
      </c>
      <c r="C25" s="242" t="s">
        <v>54</v>
      </c>
      <c r="D25" s="240" t="s">
        <v>55</v>
      </c>
      <c r="E25" s="240" t="s">
        <v>519</v>
      </c>
      <c r="F25" s="263" t="s">
        <v>439</v>
      </c>
      <c r="G25" s="26" t="s">
        <v>423</v>
      </c>
      <c r="H25" s="250" t="s">
        <v>289</v>
      </c>
      <c r="I25" s="240" t="s">
        <v>56</v>
      </c>
      <c r="J25" s="27" t="s">
        <v>57</v>
      </c>
      <c r="K25" s="47">
        <v>13988153</v>
      </c>
      <c r="L25" s="28">
        <v>8262785.6411363389</v>
      </c>
      <c r="M25" s="39">
        <v>3.1399999999999997E-2</v>
      </c>
      <c r="N25" s="28">
        <f>1430873.60020494+107795234.9/520.68+109739226/530.07+105995907.4/511.99+105780752.2/510.95+107921470/521.29</f>
        <v>2466011.8009147597</v>
      </c>
      <c r="O25" s="28">
        <f>1219413.93+55848657.5/520.68+55104222/530.07+51579050.2/511.99+49822785.6/510.95+49136587/521.29</f>
        <v>1723143.4304005392</v>
      </c>
      <c r="P25" s="28">
        <f t="shared" si="0"/>
        <v>5796773.8402215792</v>
      </c>
      <c r="Q25" s="242" t="s">
        <v>48</v>
      </c>
      <c r="R25" s="31" t="s">
        <v>424</v>
      </c>
      <c r="S25" s="41" t="s">
        <v>520</v>
      </c>
    </row>
    <row r="26" spans="1:19" s="2" customFormat="1" ht="59.25" customHeight="1" outlineLevel="1" x14ac:dyDescent="0.25">
      <c r="A26" s="246"/>
      <c r="B26" s="45" t="s">
        <v>21</v>
      </c>
      <c r="C26" s="244"/>
      <c r="D26" s="262"/>
      <c r="E26" s="262"/>
      <c r="F26" s="263"/>
      <c r="G26" s="26" t="s">
        <v>425</v>
      </c>
      <c r="H26" s="251"/>
      <c r="I26" s="241"/>
      <c r="J26" s="26" t="s">
        <v>2</v>
      </c>
      <c r="K26" s="48">
        <v>1194787815</v>
      </c>
      <c r="L26" s="28">
        <v>1194787815</v>
      </c>
      <c r="M26" s="39">
        <v>3.1399999999999997E-2</v>
      </c>
      <c r="N26" s="28">
        <f>209123295.3+29868621.8+29868621.8+29868621.8+29868621.8+29868621.8</f>
        <v>358466404.30000007</v>
      </c>
      <c r="O26" s="28">
        <f>177460224.6+15474933+14998180+14534453+14068120.9+13599183.5</f>
        <v>250135095</v>
      </c>
      <c r="P26" s="28">
        <f t="shared" si="0"/>
        <v>836321410.69999993</v>
      </c>
      <c r="Q26" s="243"/>
      <c r="R26" s="31" t="s">
        <v>424</v>
      </c>
      <c r="S26" s="43"/>
    </row>
    <row r="27" spans="1:19" s="2" customFormat="1" ht="51.75" customHeight="1" outlineLevel="1" x14ac:dyDescent="0.25">
      <c r="A27" s="245">
        <v>12</v>
      </c>
      <c r="B27" s="45" t="s">
        <v>58</v>
      </c>
      <c r="C27" s="244"/>
      <c r="D27" s="262"/>
      <c r="E27" s="262"/>
      <c r="F27" s="263"/>
      <c r="G27" s="26" t="s">
        <v>423</v>
      </c>
      <c r="H27" s="250" t="s">
        <v>292</v>
      </c>
      <c r="I27" s="240" t="s">
        <v>56</v>
      </c>
      <c r="J27" s="27" t="s">
        <v>57</v>
      </c>
      <c r="K27" s="47">
        <v>10098535</v>
      </c>
      <c r="L27" s="28">
        <v>10121386.37101347</v>
      </c>
      <c r="M27" s="39">
        <v>3.1399999999999997E-2</v>
      </c>
      <c r="N27" s="28">
        <f>1520990.1+136750579/520.29+138244588/530.59+133398381/511.99+133127359/510.95+135821484/521.29</f>
        <v>2826020.5051234914</v>
      </c>
      <c r="O27" s="28">
        <f>832426.027338+83294453/525+70252782/520.29+69454072/530.59+64924992/511.99+62703018/510.95+61839486/521.29</f>
        <v>1625163.4322333978</v>
      </c>
      <c r="P27" s="28">
        <f t="shared" si="0"/>
        <v>7295365.8658899786</v>
      </c>
      <c r="Q27" s="242" t="s">
        <v>48</v>
      </c>
      <c r="R27" s="31" t="s">
        <v>424</v>
      </c>
      <c r="S27" s="43" t="s">
        <v>521</v>
      </c>
    </row>
    <row r="28" spans="1:19" s="2" customFormat="1" ht="47.25" customHeight="1" outlineLevel="1" x14ac:dyDescent="0.25">
      <c r="A28" s="246"/>
      <c r="B28" s="45" t="s">
        <v>58</v>
      </c>
      <c r="C28" s="243"/>
      <c r="D28" s="241"/>
      <c r="E28" s="241"/>
      <c r="F28" s="263"/>
      <c r="G28" s="26" t="s">
        <v>425</v>
      </c>
      <c r="H28" s="251"/>
      <c r="I28" s="241"/>
      <c r="J28" s="26" t="s">
        <v>2</v>
      </c>
      <c r="K28" s="48">
        <v>794162455.89999998</v>
      </c>
      <c r="L28" s="28">
        <v>794162455.89999998</v>
      </c>
      <c r="M28" s="39">
        <v>3.1399999999999997E-2</v>
      </c>
      <c r="N28" s="28">
        <f>123592049.7+20623615+20310837+20310837+20310838+20310838</f>
        <v>225459014.69999999</v>
      </c>
      <c r="O28" s="28">
        <f>78534680.8+10527955+10204165+9885285+9566405+9247523</f>
        <v>127966013.8</v>
      </c>
      <c r="P28" s="28">
        <f t="shared" si="0"/>
        <v>568703441.20000005</v>
      </c>
      <c r="Q28" s="243"/>
      <c r="R28" s="31" t="s">
        <v>424</v>
      </c>
      <c r="S28" s="43"/>
    </row>
    <row r="29" spans="1:19" s="2" customFormat="1" ht="48" customHeight="1" outlineLevel="1" x14ac:dyDescent="0.25">
      <c r="A29" s="32">
        <v>13</v>
      </c>
      <c r="B29" s="49" t="s">
        <v>21</v>
      </c>
      <c r="C29" s="242" t="s">
        <v>59</v>
      </c>
      <c r="D29" s="240" t="s">
        <v>60</v>
      </c>
      <c r="E29" s="240" t="s">
        <v>522</v>
      </c>
      <c r="F29" s="260" t="s">
        <v>440</v>
      </c>
      <c r="G29" s="26" t="s">
        <v>423</v>
      </c>
      <c r="H29" s="37" t="s">
        <v>293</v>
      </c>
      <c r="I29" s="26" t="s">
        <v>61</v>
      </c>
      <c r="J29" s="27" t="s">
        <v>47</v>
      </c>
      <c r="K29" s="28">
        <v>19600000</v>
      </c>
      <c r="L29" s="28">
        <v>19419334.870000001</v>
      </c>
      <c r="M29" s="50">
        <v>5.0000000000000001E-3</v>
      </c>
      <c r="N29" s="28">
        <f>9716960.66852489+189584407.5/488.5+172026989.7/443.26+153375144/395.2+150045288.9/386.62+156421689.8/403.05+150324717.3/387.34+155746404.5/401.31+148935337.2/383.76</f>
        <v>12821720.668773536</v>
      </c>
      <c r="O29" s="28">
        <f>1129921.93024286+16077756.3/488.5+14096288.6/443.26+12233850.7/395.2+11546870.2/386.62+11574265.9/403.05+10860006.5/387.34+10861254.5/401.31+9984322.3/383.76</f>
        <v>1365293.8301567538</v>
      </c>
      <c r="P29" s="28">
        <f t="shared" si="0"/>
        <v>6597614.2012264654</v>
      </c>
      <c r="Q29" s="30" t="s">
        <v>48</v>
      </c>
      <c r="R29" s="31" t="s">
        <v>424</v>
      </c>
      <c r="S29" s="43" t="s">
        <v>523</v>
      </c>
    </row>
    <row r="30" spans="1:19" s="2" customFormat="1" ht="60" customHeight="1" outlineLevel="1" x14ac:dyDescent="0.25">
      <c r="A30" s="32">
        <v>14</v>
      </c>
      <c r="B30" s="49" t="s">
        <v>58</v>
      </c>
      <c r="C30" s="243"/>
      <c r="D30" s="241"/>
      <c r="E30" s="241"/>
      <c r="F30" s="261"/>
      <c r="G30" s="26" t="s">
        <v>423</v>
      </c>
      <c r="H30" s="37" t="s">
        <v>294</v>
      </c>
      <c r="I30" s="26" t="s">
        <v>62</v>
      </c>
      <c r="J30" s="27" t="s">
        <v>47</v>
      </c>
      <c r="K30" s="28">
        <v>297276.53999999998</v>
      </c>
      <c r="L30" s="28">
        <v>297276.53999999998</v>
      </c>
      <c r="M30" s="35" t="s">
        <v>63</v>
      </c>
      <c r="N30" s="28">
        <f>257638.543537781+4361667/440.15+3916234/395.2+3837157/387.22+3994520/403.1</f>
        <v>297276.54625526333</v>
      </c>
      <c r="O30" s="28">
        <f>229541.53251276+1912186/489.99+1556591/440.15+1259898/395.2+1094284/387.22+991707/403.1</f>
        <v>245454.73643449965</v>
      </c>
      <c r="P30" s="28">
        <f t="shared" si="0"/>
        <v>-6.255263346247375E-3</v>
      </c>
      <c r="Q30" s="30" t="s">
        <v>48</v>
      </c>
      <c r="R30" s="31" t="s">
        <v>424</v>
      </c>
      <c r="S30" s="43" t="s">
        <v>524</v>
      </c>
    </row>
    <row r="31" spans="1:19" s="2" customFormat="1" ht="51" customHeight="1" outlineLevel="1" x14ac:dyDescent="0.25">
      <c r="A31" s="32">
        <v>15</v>
      </c>
      <c r="B31" s="49" t="s">
        <v>58</v>
      </c>
      <c r="C31" s="247" t="s">
        <v>64</v>
      </c>
      <c r="D31" s="240" t="s">
        <v>65</v>
      </c>
      <c r="E31" s="240" t="s">
        <v>525</v>
      </c>
      <c r="F31" s="260" t="s">
        <v>441</v>
      </c>
      <c r="G31" s="26" t="s">
        <v>423</v>
      </c>
      <c r="H31" s="37" t="s">
        <v>295</v>
      </c>
      <c r="I31" s="26" t="s">
        <v>66</v>
      </c>
      <c r="J31" s="26" t="s">
        <v>67</v>
      </c>
      <c r="K31" s="28">
        <v>1571940173.3299999</v>
      </c>
      <c r="L31" s="28">
        <v>1598519063</v>
      </c>
      <c r="M31" s="50">
        <v>1.7999999999999999E-2</v>
      </c>
      <c r="N31" s="28">
        <f>1030178646.5+123394332/3.026+109815247/2.693+110426917/2.708+107613234/2.639+106349114/2.608</f>
        <v>1234068819.1163616</v>
      </c>
      <c r="O31" s="28">
        <f>226837831.925937+13873556/3.026+11211247/2.693+10505503/2.708+9205948/2.639+8278004/2.608</f>
        <v>246127659.34121844</v>
      </c>
      <c r="P31" s="28">
        <f t="shared" si="0"/>
        <v>364450243.88363838</v>
      </c>
      <c r="Q31" s="30" t="s">
        <v>48</v>
      </c>
      <c r="R31" s="31" t="s">
        <v>424</v>
      </c>
      <c r="S31" s="43" t="s">
        <v>526</v>
      </c>
    </row>
    <row r="32" spans="1:19" s="2" customFormat="1" ht="41.25" customHeight="1" outlineLevel="1" x14ac:dyDescent="0.25">
      <c r="A32" s="32">
        <v>16</v>
      </c>
      <c r="B32" s="25" t="s">
        <v>68</v>
      </c>
      <c r="C32" s="248"/>
      <c r="D32" s="241"/>
      <c r="E32" s="241"/>
      <c r="F32" s="261"/>
      <c r="G32" s="26" t="s">
        <v>423</v>
      </c>
      <c r="H32" s="37" t="s">
        <v>296</v>
      </c>
      <c r="I32" s="26" t="s">
        <v>66</v>
      </c>
      <c r="J32" s="26" t="s">
        <v>67</v>
      </c>
      <c r="K32" s="28">
        <v>3796371795.6700001</v>
      </c>
      <c r="L32" s="28">
        <v>3861444249</v>
      </c>
      <c r="M32" s="50">
        <v>1.7999999999999999E-2</v>
      </c>
      <c r="N32" s="28">
        <f>2513837447.56+291897058.6/3.026+259774877.3/2.693+261800600/2.714+254469412/2.638+251575521.7/2.608</f>
        <v>2996152481.4054999</v>
      </c>
      <c r="O32" s="28">
        <f>553224853.256799+32762341/3.026+26475306.9/2.693+24863667/2.714+21767387/2.638+19619296.3/2.608</f>
        <v>598818429.94730222</v>
      </c>
      <c r="P32" s="28">
        <f t="shared" si="0"/>
        <v>865291767.59450006</v>
      </c>
      <c r="Q32" s="30" t="s">
        <v>48</v>
      </c>
      <c r="R32" s="31" t="s">
        <v>424</v>
      </c>
      <c r="S32" s="43" t="s">
        <v>527</v>
      </c>
    </row>
    <row r="33" spans="1:20" s="2" customFormat="1" ht="69" customHeight="1" outlineLevel="1" x14ac:dyDescent="0.25">
      <c r="A33" s="245">
        <v>17</v>
      </c>
      <c r="B33" s="247" t="s">
        <v>69</v>
      </c>
      <c r="C33" s="242" t="s">
        <v>453</v>
      </c>
      <c r="D33" s="240" t="s">
        <v>60</v>
      </c>
      <c r="E33" s="240" t="s">
        <v>528</v>
      </c>
      <c r="F33" s="260" t="s">
        <v>442</v>
      </c>
      <c r="G33" s="26" t="s">
        <v>423</v>
      </c>
      <c r="H33" s="250" t="s">
        <v>297</v>
      </c>
      <c r="I33" s="240" t="s">
        <v>70</v>
      </c>
      <c r="J33" s="27" t="s">
        <v>47</v>
      </c>
      <c r="K33" s="28">
        <v>4846628.13</v>
      </c>
      <c r="L33" s="28">
        <v>4737831.22</v>
      </c>
      <c r="M33" s="35">
        <v>7.4999999999999997E-3</v>
      </c>
      <c r="N33" s="28">
        <f>616176.07+18729201/386.44+19508050/402.51+18791723/387.73+18767489/387.23+18866844.5/389.29</f>
        <v>858504.82745814102</v>
      </c>
      <c r="O33" s="28">
        <f>353441.51+5923430/386.44+6198654/402.51+5835491.6/387.73+5820648/387.23+5685901.5/389.29</f>
        <v>428857.43640006101</v>
      </c>
      <c r="P33" s="28">
        <f t="shared" si="0"/>
        <v>3879326.3925418588</v>
      </c>
      <c r="Q33" s="30" t="s">
        <v>71</v>
      </c>
      <c r="R33" s="31" t="s">
        <v>424</v>
      </c>
      <c r="S33" s="51"/>
    </row>
    <row r="34" spans="1:20" s="2" customFormat="1" ht="69" customHeight="1" outlineLevel="1" x14ac:dyDescent="0.25">
      <c r="A34" s="246"/>
      <c r="B34" s="248"/>
      <c r="C34" s="243"/>
      <c r="D34" s="241"/>
      <c r="E34" s="241"/>
      <c r="F34" s="261"/>
      <c r="G34" s="26" t="s">
        <v>425</v>
      </c>
      <c r="H34" s="251"/>
      <c r="I34" s="241"/>
      <c r="J34" s="26" t="s">
        <v>2</v>
      </c>
      <c r="K34" s="28">
        <v>1740568345.9000001</v>
      </c>
      <c r="L34" s="28">
        <v>1740568345.9000001</v>
      </c>
      <c r="M34" s="35">
        <v>7.4999999999999997E-3</v>
      </c>
      <c r="N34" s="28">
        <f>247100359+17402579+17402579+17402579+17402579+17402579</f>
        <v>334113254</v>
      </c>
      <c r="O34" s="28">
        <f>128165336.87+5554115.8+5580740.4+5454641.8+5448433.2+5294865</f>
        <v>155498133.06999999</v>
      </c>
      <c r="P34" s="28">
        <f t="shared" si="0"/>
        <v>1406455091.9000001</v>
      </c>
      <c r="Q34" s="30" t="s">
        <v>71</v>
      </c>
      <c r="R34" s="31" t="s">
        <v>424</v>
      </c>
      <c r="S34" s="51"/>
    </row>
    <row r="35" spans="1:20" ht="87" customHeight="1" outlineLevel="1" x14ac:dyDescent="0.25">
      <c r="A35" s="32">
        <v>18</v>
      </c>
      <c r="B35" s="49" t="s">
        <v>72</v>
      </c>
      <c r="C35" s="25" t="s">
        <v>73</v>
      </c>
      <c r="D35" s="26" t="s">
        <v>23</v>
      </c>
      <c r="E35" s="37" t="s">
        <v>529</v>
      </c>
      <c r="F35" s="37" t="s">
        <v>530</v>
      </c>
      <c r="G35" s="26" t="s">
        <v>423</v>
      </c>
      <c r="H35" s="37" t="s">
        <v>298</v>
      </c>
      <c r="I35" s="37" t="s">
        <v>74</v>
      </c>
      <c r="J35" s="27" t="s">
        <v>25</v>
      </c>
      <c r="K35" s="52">
        <v>17895215.550000001</v>
      </c>
      <c r="L35" s="28">
        <v>17895215.550000001</v>
      </c>
      <c r="M35" s="35">
        <v>7.4999999999999997E-3</v>
      </c>
      <c r="N35" s="28">
        <v>9318294.104163751</v>
      </c>
      <c r="O35" s="28">
        <f>2568161.28+12471869/415.04+3320320/414.34+16171473.8/438.74+15002335.6/420.29+14025433/406.4+14522542.1/435.58</f>
        <v>2746630.7955871872</v>
      </c>
      <c r="P35" s="28">
        <f t="shared" si="0"/>
        <v>8576921.4458362497</v>
      </c>
      <c r="Q35" s="30" t="s">
        <v>48</v>
      </c>
      <c r="R35" s="31" t="s">
        <v>424</v>
      </c>
      <c r="S35" s="51"/>
      <c r="T35" s="2"/>
    </row>
    <row r="36" spans="1:20" ht="55.5" customHeight="1" outlineLevel="1" x14ac:dyDescent="0.25">
      <c r="A36" s="245">
        <v>19</v>
      </c>
      <c r="B36" s="45" t="s">
        <v>75</v>
      </c>
      <c r="C36" s="242" t="s">
        <v>531</v>
      </c>
      <c r="D36" s="242" t="s">
        <v>263</v>
      </c>
      <c r="E36" s="242" t="s">
        <v>532</v>
      </c>
      <c r="F36" s="242" t="s">
        <v>443</v>
      </c>
      <c r="G36" s="25" t="s">
        <v>423</v>
      </c>
      <c r="H36" s="242" t="s">
        <v>299</v>
      </c>
      <c r="I36" s="25" t="s">
        <v>76</v>
      </c>
      <c r="J36" s="27" t="s">
        <v>25</v>
      </c>
      <c r="K36" s="53">
        <v>22000000</v>
      </c>
      <c r="L36" s="28">
        <v>21247150.510000002</v>
      </c>
      <c r="M36" s="54" t="s">
        <v>77</v>
      </c>
      <c r="N36" s="28">
        <f>1047000+1047000+1047000+1047000+1047000+1047000+1047000+1047000+1048000+1048000</f>
        <v>10472000</v>
      </c>
      <c r="O36" s="28">
        <f>2375876.3+237670.2+221556.87+203731.2</f>
        <v>3038834.5700000003</v>
      </c>
      <c r="P36" s="28">
        <f>K36-N36</f>
        <v>11528000</v>
      </c>
      <c r="Q36" s="242" t="s">
        <v>397</v>
      </c>
      <c r="R36" s="31" t="s">
        <v>424</v>
      </c>
      <c r="S36" s="51"/>
      <c r="T36" s="2"/>
    </row>
    <row r="37" spans="1:20" ht="68.25" customHeight="1" outlineLevel="1" x14ac:dyDescent="0.25">
      <c r="A37" s="259"/>
      <c r="B37" s="45" t="s">
        <v>75</v>
      </c>
      <c r="C37" s="244"/>
      <c r="D37" s="244"/>
      <c r="E37" s="244"/>
      <c r="F37" s="244"/>
      <c r="G37" s="25" t="s">
        <v>423</v>
      </c>
      <c r="H37" s="244"/>
      <c r="I37" s="25" t="s">
        <v>79</v>
      </c>
      <c r="J37" s="27" t="s">
        <v>25</v>
      </c>
      <c r="K37" s="53">
        <v>14500000</v>
      </c>
      <c r="L37" s="28">
        <v>14491281.059999999</v>
      </c>
      <c r="M37" s="54" t="s">
        <v>26</v>
      </c>
      <c r="N37" s="28">
        <f>241000+241000+241000+241000+241000+241000+241000+241000+241000+241000</f>
        <v>2410000</v>
      </c>
      <c r="O37" s="28">
        <f>628643.7+48048.75+47190.19+46241.25</f>
        <v>770123.8899999999</v>
      </c>
      <c r="P37" s="28">
        <f>K37-N37</f>
        <v>12090000</v>
      </c>
      <c r="Q37" s="244"/>
      <c r="R37" s="31" t="s">
        <v>424</v>
      </c>
      <c r="S37" s="51"/>
      <c r="T37" s="2"/>
    </row>
    <row r="38" spans="1:20" ht="62.25" customHeight="1" outlineLevel="1" x14ac:dyDescent="0.25">
      <c r="A38" s="246"/>
      <c r="B38" s="45" t="s">
        <v>75</v>
      </c>
      <c r="C38" s="243"/>
      <c r="D38" s="243"/>
      <c r="E38" s="243"/>
      <c r="F38" s="243"/>
      <c r="G38" s="25" t="s">
        <v>423</v>
      </c>
      <c r="H38" s="243"/>
      <c r="I38" s="25" t="s">
        <v>80</v>
      </c>
      <c r="J38" s="27" t="s">
        <v>25</v>
      </c>
      <c r="K38" s="53">
        <v>14500000</v>
      </c>
      <c r="L38" s="28">
        <v>14500000.000000002</v>
      </c>
      <c r="M38" s="54" t="s">
        <v>81</v>
      </c>
      <c r="N38" s="28">
        <v>6300000</v>
      </c>
      <c r="O38" s="28">
        <f>62877.81+2336020+207340.05+195524.74+181898.05</f>
        <v>2983660.6499999994</v>
      </c>
      <c r="P38" s="28">
        <f>K38-N38</f>
        <v>8200000</v>
      </c>
      <c r="Q38" s="243"/>
      <c r="R38" s="31" t="s">
        <v>424</v>
      </c>
      <c r="S38" s="51"/>
      <c r="T38" s="2"/>
    </row>
    <row r="39" spans="1:20" ht="94.5" customHeight="1" outlineLevel="1" x14ac:dyDescent="0.25">
      <c r="A39" s="32">
        <v>20</v>
      </c>
      <c r="B39" s="25" t="s">
        <v>82</v>
      </c>
      <c r="C39" s="49" t="s">
        <v>83</v>
      </c>
      <c r="D39" s="26" t="s">
        <v>65</v>
      </c>
      <c r="E39" s="26" t="s">
        <v>533</v>
      </c>
      <c r="F39" s="26" t="s">
        <v>444</v>
      </c>
      <c r="G39" s="26" t="s">
        <v>423</v>
      </c>
      <c r="H39" s="37" t="s">
        <v>300</v>
      </c>
      <c r="I39" s="26" t="s">
        <v>84</v>
      </c>
      <c r="J39" s="26" t="s">
        <v>67</v>
      </c>
      <c r="K39" s="55">
        <v>26409000000</v>
      </c>
      <c r="L39" s="28">
        <v>26399286331</v>
      </c>
      <c r="M39" s="35">
        <v>7.4999999999999997E-3</v>
      </c>
      <c r="N39" s="28">
        <f>7357230331.16835+1131704010/2.615+1153775484/2.666+(500000000+500000000+175414184)/2.716+(131098126.4+500000000+500000000)/2.6131</f>
        <v>9088409139.7099285</v>
      </c>
      <c r="O39" s="28">
        <f>2607354309.06995+188428717.2/2.615+185536580.8/2.666+186649331.7/2.716+172476969.8/2.6136</f>
        <v>2883719042.4936247</v>
      </c>
      <c r="P39" s="56">
        <f t="shared" ref="P39:P50" si="1">L39-N39</f>
        <v>17310877191.29007</v>
      </c>
      <c r="Q39" s="30" t="s">
        <v>85</v>
      </c>
      <c r="R39" s="31" t="s">
        <v>424</v>
      </c>
      <c r="S39" s="51"/>
      <c r="T39" s="2"/>
    </row>
    <row r="40" spans="1:20" ht="86.25" customHeight="1" outlineLevel="1" x14ac:dyDescent="0.25">
      <c r="A40" s="32">
        <v>21</v>
      </c>
      <c r="B40" s="49" t="s">
        <v>21</v>
      </c>
      <c r="C40" s="25" t="s">
        <v>86</v>
      </c>
      <c r="D40" s="25" t="s">
        <v>87</v>
      </c>
      <c r="E40" s="25" t="s">
        <v>445</v>
      </c>
      <c r="F40" s="25" t="s">
        <v>534</v>
      </c>
      <c r="G40" s="25" t="s">
        <v>423</v>
      </c>
      <c r="H40" s="37" t="s">
        <v>301</v>
      </c>
      <c r="I40" s="26" t="s">
        <v>88</v>
      </c>
      <c r="J40" s="27" t="s">
        <v>47</v>
      </c>
      <c r="K40" s="28">
        <v>8988290</v>
      </c>
      <c r="L40" s="28">
        <v>8988290</v>
      </c>
      <c r="M40" s="50">
        <v>5.0000000000000001E-3</v>
      </c>
      <c r="N40" s="28">
        <f>4199999.97+600000+600000+289644000/482.74+290820000/484.7+286458000/477.43+600000+600000+231939215.4/394.26</f>
        <v>8988289.9699999988</v>
      </c>
      <c r="O40" s="28">
        <f>838542.942447016+522591.6/394.26</f>
        <v>839868.44237092405</v>
      </c>
      <c r="P40" s="56">
        <f t="shared" si="1"/>
        <v>3.0000001192092896E-2</v>
      </c>
      <c r="Q40" s="30" t="s">
        <v>71</v>
      </c>
      <c r="R40" s="31" t="s">
        <v>424</v>
      </c>
      <c r="S40" s="51"/>
      <c r="T40" s="2"/>
    </row>
    <row r="41" spans="1:20" ht="86.25" customHeight="1" outlineLevel="1" x14ac:dyDescent="0.25">
      <c r="A41" s="32"/>
      <c r="B41" s="247" t="s">
        <v>21</v>
      </c>
      <c r="C41" s="242" t="s">
        <v>535</v>
      </c>
      <c r="D41" s="240" t="s">
        <v>408</v>
      </c>
      <c r="E41" s="242" t="s">
        <v>536</v>
      </c>
      <c r="F41" s="257" t="s">
        <v>459</v>
      </c>
      <c r="G41" s="38" t="s">
        <v>399</v>
      </c>
      <c r="H41" s="37"/>
      <c r="I41" s="26" t="s">
        <v>478</v>
      </c>
      <c r="J41" s="57" t="s">
        <v>2</v>
      </c>
      <c r="K41" s="47">
        <v>1035000000</v>
      </c>
      <c r="L41" s="48">
        <f>1035000000-80500000</f>
        <v>954500000</v>
      </c>
      <c r="M41" s="58">
        <v>9.8613000000000006E-2</v>
      </c>
      <c r="N41" s="28"/>
      <c r="O41" s="28"/>
      <c r="P41" s="56">
        <f t="shared" si="1"/>
        <v>954500000</v>
      </c>
      <c r="Q41" s="30" t="s">
        <v>71</v>
      </c>
      <c r="R41" s="31" t="s">
        <v>424</v>
      </c>
      <c r="S41" s="51"/>
      <c r="T41" s="2"/>
    </row>
    <row r="42" spans="1:20" ht="86.25" customHeight="1" outlineLevel="1" x14ac:dyDescent="0.25">
      <c r="A42" s="32"/>
      <c r="B42" s="248"/>
      <c r="C42" s="243"/>
      <c r="D42" s="241"/>
      <c r="E42" s="243"/>
      <c r="F42" s="258"/>
      <c r="G42" s="38" t="s">
        <v>399</v>
      </c>
      <c r="H42" s="37"/>
      <c r="I42" s="26"/>
      <c r="J42" s="57" t="s">
        <v>2</v>
      </c>
      <c r="K42" s="48">
        <v>1035000000</v>
      </c>
      <c r="L42" s="48"/>
      <c r="M42" s="50"/>
      <c r="N42" s="28"/>
      <c r="O42" s="28"/>
      <c r="P42" s="56">
        <f t="shared" si="1"/>
        <v>0</v>
      </c>
      <c r="Q42" s="30" t="s">
        <v>71</v>
      </c>
      <c r="R42" s="31" t="s">
        <v>424</v>
      </c>
      <c r="S42" s="51"/>
      <c r="T42" s="2"/>
    </row>
    <row r="43" spans="1:20" ht="100.5" customHeight="1" outlineLevel="1" x14ac:dyDescent="0.25">
      <c r="A43" s="32">
        <v>22</v>
      </c>
      <c r="B43" s="49" t="s">
        <v>89</v>
      </c>
      <c r="C43" s="25" t="s">
        <v>86</v>
      </c>
      <c r="D43" s="25" t="s">
        <v>90</v>
      </c>
      <c r="E43" s="25" t="s">
        <v>537</v>
      </c>
      <c r="F43" s="25" t="s">
        <v>446</v>
      </c>
      <c r="G43" s="25" t="s">
        <v>423</v>
      </c>
      <c r="H43" s="59" t="s">
        <v>302</v>
      </c>
      <c r="I43" s="28" t="s">
        <v>91</v>
      </c>
      <c r="J43" s="60" t="s">
        <v>2</v>
      </c>
      <c r="K43" s="28">
        <v>1757100000</v>
      </c>
      <c r="L43" s="28">
        <v>1757100000</v>
      </c>
      <c r="M43" s="35">
        <v>7.4999999999999997E-3</v>
      </c>
      <c r="N43" s="28">
        <f>439275000+62753571.5+62753571.5+62753571.3+62753571.4+62753571.4+62753571.4+62753571.5+62753571.5+62753571.5+62753571.3</f>
        <v>1066810714.2999998</v>
      </c>
      <c r="O43" s="28">
        <f>303383430.5+3313904.4+3032802.7+3076644.3+2814884.5+2839384.2</f>
        <v>318461050.59999996</v>
      </c>
      <c r="P43" s="56">
        <f t="shared" si="1"/>
        <v>690289285.70000017</v>
      </c>
      <c r="Q43" s="30" t="s">
        <v>71</v>
      </c>
      <c r="R43" s="31" t="s">
        <v>424</v>
      </c>
      <c r="S43" s="51"/>
      <c r="T43" s="2"/>
    </row>
    <row r="44" spans="1:20" ht="82.5" customHeight="1" outlineLevel="1" x14ac:dyDescent="0.25">
      <c r="A44" s="61">
        <v>23</v>
      </c>
      <c r="B44" s="49" t="s">
        <v>89</v>
      </c>
      <c r="C44" s="242" t="s">
        <v>538</v>
      </c>
      <c r="D44" s="25" t="s">
        <v>408</v>
      </c>
      <c r="E44" s="25" t="s">
        <v>92</v>
      </c>
      <c r="F44" s="59" t="s">
        <v>539</v>
      </c>
      <c r="G44" s="25" t="s">
        <v>399</v>
      </c>
      <c r="H44" s="59"/>
      <c r="I44" s="28" t="s">
        <v>93</v>
      </c>
      <c r="J44" s="60" t="s">
        <v>2</v>
      </c>
      <c r="K44" s="28">
        <v>18700000000</v>
      </c>
      <c r="L44" s="28">
        <v>18700000000</v>
      </c>
      <c r="M44" s="39">
        <v>7.4999999999999997E-2</v>
      </c>
      <c r="N44" s="28">
        <f>890476190.5+890476190.5+890476190.5+890476190.5+890476190.5+890476190.5+890476190.5</f>
        <v>6233333333.5</v>
      </c>
      <c r="O44" s="28">
        <f>1333335616.4+703171232.9+699328767.1+670052837.5+632909002+602718199.6+569233855.2+535749511+499520548</f>
        <v>6246019569.6999998</v>
      </c>
      <c r="P44" s="56">
        <f>L44-N44</f>
        <v>12466666666.5</v>
      </c>
      <c r="Q44" s="30" t="s">
        <v>71</v>
      </c>
      <c r="R44" s="31" t="s">
        <v>424</v>
      </c>
      <c r="S44" s="51"/>
      <c r="T44" s="2"/>
    </row>
    <row r="45" spans="1:20" ht="63.75" customHeight="1" outlineLevel="1" x14ac:dyDescent="0.25">
      <c r="A45" s="61">
        <v>24</v>
      </c>
      <c r="B45" s="49" t="s">
        <v>89</v>
      </c>
      <c r="C45" s="244"/>
      <c r="D45" s="25" t="s">
        <v>408</v>
      </c>
      <c r="E45" s="38" t="s">
        <v>264</v>
      </c>
      <c r="F45" s="59" t="s">
        <v>433</v>
      </c>
      <c r="G45" s="25" t="s">
        <v>399</v>
      </c>
      <c r="H45" s="59"/>
      <c r="I45" s="28" t="s">
        <v>253</v>
      </c>
      <c r="J45" s="60" t="s">
        <v>2</v>
      </c>
      <c r="K45" s="28">
        <v>25000000000</v>
      </c>
      <c r="L45" s="28">
        <v>25000000000</v>
      </c>
      <c r="M45" s="39">
        <v>0.09</v>
      </c>
      <c r="N45" s="28">
        <f>1190476190.4+1190476190.5+1190476190.5+1190476190.5+1190476190.5</f>
        <v>5952380952.3999996</v>
      </c>
      <c r="O45" s="28">
        <f>1171232876.7+1121917808.3+1128082191.8+1121917808.2+1074363992.2+1020645792.6+966927593+908219178.1</f>
        <v>8513307240.9000006</v>
      </c>
      <c r="P45" s="56">
        <f t="shared" si="1"/>
        <v>19047619047.599998</v>
      </c>
      <c r="Q45" s="30" t="s">
        <v>71</v>
      </c>
      <c r="R45" s="31" t="s">
        <v>424</v>
      </c>
      <c r="S45" s="51"/>
      <c r="T45" s="2"/>
    </row>
    <row r="46" spans="1:20" ht="82.5" customHeight="1" outlineLevel="1" x14ac:dyDescent="0.25">
      <c r="A46" s="61"/>
      <c r="B46" s="49" t="s">
        <v>89</v>
      </c>
      <c r="C46" s="243"/>
      <c r="D46" s="25" t="s">
        <v>408</v>
      </c>
      <c r="E46" s="25" t="s">
        <v>479</v>
      </c>
      <c r="F46" s="59" t="s">
        <v>540</v>
      </c>
      <c r="G46" s="25" t="s">
        <v>399</v>
      </c>
      <c r="H46" s="59"/>
      <c r="I46" s="28" t="s">
        <v>460</v>
      </c>
      <c r="J46" s="60" t="s">
        <v>2</v>
      </c>
      <c r="K46" s="28">
        <v>5965000000</v>
      </c>
      <c r="L46" s="28">
        <v>5965000000</v>
      </c>
      <c r="M46" s="62">
        <v>9.8608000000000001E-2</v>
      </c>
      <c r="N46" s="28"/>
      <c r="O46" s="28">
        <f>24172468+293292611.1</f>
        <v>317465079.10000002</v>
      </c>
      <c r="P46" s="56">
        <f>L46-N46</f>
        <v>5965000000</v>
      </c>
      <c r="Q46" s="30" t="s">
        <v>71</v>
      </c>
      <c r="R46" s="31" t="s">
        <v>424</v>
      </c>
      <c r="S46" s="51"/>
      <c r="T46" s="2"/>
    </row>
    <row r="47" spans="1:20" ht="78.75" customHeight="1" outlineLevel="1" x14ac:dyDescent="0.25">
      <c r="A47" s="245">
        <v>25</v>
      </c>
      <c r="B47" s="45" t="s">
        <v>89</v>
      </c>
      <c r="C47" s="242" t="s">
        <v>94</v>
      </c>
      <c r="D47" s="26" t="s">
        <v>410</v>
      </c>
      <c r="E47" s="240" t="s">
        <v>462</v>
      </c>
      <c r="F47" s="242" t="s">
        <v>447</v>
      </c>
      <c r="G47" s="26" t="s">
        <v>423</v>
      </c>
      <c r="H47" s="250" t="s">
        <v>303</v>
      </c>
      <c r="I47" s="255" t="s">
        <v>95</v>
      </c>
      <c r="J47" s="27" t="s">
        <v>47</v>
      </c>
      <c r="K47" s="47">
        <v>270000000</v>
      </c>
      <c r="L47" s="28">
        <v>170663629.05000004</v>
      </c>
      <c r="M47" s="63">
        <v>0.03</v>
      </c>
      <c r="N47" s="28">
        <f>51199088.7002228+3370009369.8/394.93+3295429324.9/386.19+3461143748.2/405.61+3310959715/388.01+(1000000000+1424393078.3+962000000)/396.85</f>
        <v>93864996.000313431</v>
      </c>
      <c r="O47" s="28">
        <f>20309911.275649+723428666.7/394.93+646453366.1/386.19+636850451.3/405.61+552378447/388.01+519246953.2/396.85</f>
        <v>28117772.275609713</v>
      </c>
      <c r="P47" s="56">
        <f t="shared" si="1"/>
        <v>76798633.049686611</v>
      </c>
      <c r="Q47" s="242" t="s">
        <v>78</v>
      </c>
      <c r="R47" s="31" t="s">
        <v>424</v>
      </c>
      <c r="S47" s="51"/>
      <c r="T47" s="2"/>
    </row>
    <row r="48" spans="1:20" ht="81.75" customHeight="1" outlineLevel="1" x14ac:dyDescent="0.25">
      <c r="A48" s="246"/>
      <c r="B48" s="45" t="s">
        <v>89</v>
      </c>
      <c r="C48" s="243"/>
      <c r="D48" s="25" t="s">
        <v>408</v>
      </c>
      <c r="E48" s="241"/>
      <c r="F48" s="243"/>
      <c r="G48" s="25" t="s">
        <v>425</v>
      </c>
      <c r="H48" s="251"/>
      <c r="I48" s="256"/>
      <c r="J48" s="60" t="s">
        <v>2</v>
      </c>
      <c r="K48" s="48">
        <v>9618030955</v>
      </c>
      <c r="L48" s="28">
        <f>9509488626+108542329</f>
        <v>9618030955</v>
      </c>
      <c r="M48" s="63">
        <v>0.03</v>
      </c>
      <c r="N48" s="28">
        <f>2858334735.47632+482835444.3+482835444.2+482835444.3+482835444.2+482835444.3</f>
        <v>5272511956.7763195</v>
      </c>
      <c r="O48" s="28">
        <f>1045375895.11175+103648675.3+94716219.7+88841721.7+80553046.6+74034768.1</f>
        <v>1487170326.51175</v>
      </c>
      <c r="P48" s="56">
        <f t="shared" si="1"/>
        <v>4345518998.2236805</v>
      </c>
      <c r="Q48" s="243"/>
      <c r="R48" s="31" t="s">
        <v>424</v>
      </c>
      <c r="S48" s="51"/>
      <c r="T48" s="2"/>
    </row>
    <row r="49" spans="1:20" ht="79.5" customHeight="1" outlineLevel="1" x14ac:dyDescent="0.25">
      <c r="A49" s="32">
        <v>26</v>
      </c>
      <c r="B49" s="49" t="s">
        <v>89</v>
      </c>
      <c r="C49" s="25" t="s">
        <v>96</v>
      </c>
      <c r="D49" s="240" t="s">
        <v>45</v>
      </c>
      <c r="E49" s="240" t="s">
        <v>462</v>
      </c>
      <c r="F49" s="242" t="s">
        <v>448</v>
      </c>
      <c r="G49" s="19" t="s">
        <v>423</v>
      </c>
      <c r="H49" s="64" t="s">
        <v>304</v>
      </c>
      <c r="I49" s="21" t="s">
        <v>97</v>
      </c>
      <c r="J49" s="20" t="s">
        <v>47</v>
      </c>
      <c r="K49" s="47">
        <v>8907500</v>
      </c>
      <c r="L49" s="28">
        <v>8907384.7100000009</v>
      </c>
      <c r="M49" s="39" t="s">
        <v>343</v>
      </c>
      <c r="N49" s="28"/>
      <c r="O49" s="28">
        <f>1241236.45+96159781.6/386.38+118034920.8/403.19+119269571.9/387.69+118214384.3/387.64+101922179.5/387.99</f>
        <v>2658156.2501905067</v>
      </c>
      <c r="P49" s="65">
        <f t="shared" si="1"/>
        <v>8907384.7100000009</v>
      </c>
      <c r="Q49" s="66" t="s">
        <v>98</v>
      </c>
      <c r="R49" s="67" t="s">
        <v>424</v>
      </c>
      <c r="S49" s="51"/>
      <c r="T49" s="2"/>
    </row>
    <row r="50" spans="1:20" ht="116.25" customHeight="1" outlineLevel="1" thickBot="1" x14ac:dyDescent="0.3">
      <c r="A50" s="32">
        <v>27</v>
      </c>
      <c r="B50" s="18" t="s">
        <v>82</v>
      </c>
      <c r="C50" s="68" t="s">
        <v>96</v>
      </c>
      <c r="D50" s="254"/>
      <c r="E50" s="254"/>
      <c r="F50" s="243"/>
      <c r="G50" s="19" t="s">
        <v>423</v>
      </c>
      <c r="H50" s="64" t="s">
        <v>305</v>
      </c>
      <c r="I50" s="69" t="s">
        <v>97</v>
      </c>
      <c r="J50" s="70" t="s">
        <v>47</v>
      </c>
      <c r="K50" s="71">
        <v>21092500</v>
      </c>
      <c r="L50" s="28">
        <v>21092210.790000003</v>
      </c>
      <c r="M50" s="72" t="s">
        <v>343</v>
      </c>
      <c r="N50" s="28"/>
      <c r="O50" s="28">
        <f>3081286.01+227668040/386.38+279535083/403.19+282423985/387.69+(79661738.3+200263572)/387.64+241346347.2/388.08</f>
        <v>6436332.4246180505</v>
      </c>
      <c r="P50" s="73">
        <f t="shared" si="1"/>
        <v>21092210.790000003</v>
      </c>
      <c r="Q50" s="66" t="s">
        <v>99</v>
      </c>
      <c r="R50" s="74" t="s">
        <v>424</v>
      </c>
      <c r="S50" s="51"/>
      <c r="T50" s="2"/>
    </row>
    <row r="51" spans="1:20" s="79" customFormat="1" ht="15" customHeight="1" x14ac:dyDescent="0.25">
      <c r="A51" s="237" t="s">
        <v>107</v>
      </c>
      <c r="B51" s="238"/>
      <c r="C51" s="239"/>
      <c r="D51" s="75"/>
      <c r="E51" s="75"/>
      <c r="F51" s="75"/>
      <c r="G51" s="75"/>
      <c r="H51" s="75"/>
      <c r="I51" s="75"/>
      <c r="J51" s="75" t="s">
        <v>25</v>
      </c>
      <c r="K51" s="76">
        <f>SUMIF($J$5:$J$50,J51,$K$5:$K$50)</f>
        <v>275755742.28000003</v>
      </c>
      <c r="L51" s="76">
        <f>SUMIF($J$5:$J$50,J51,$L$5:$L$50)</f>
        <v>98289688.120000005</v>
      </c>
      <c r="M51" s="76"/>
      <c r="N51" s="76">
        <f>SUMIF($J$5:$J$50,J51,$N$5:$N$50)</f>
        <v>45103820.244139224</v>
      </c>
      <c r="O51" s="76">
        <f>SUMIF($J$5:$J$50,J51,$O$5:$O$50)</f>
        <v>18892508.607851155</v>
      </c>
      <c r="P51" s="76">
        <f>SUMIF($J$5:$J$50,J51,$P$5:$P$50)</f>
        <v>53947436.30586078</v>
      </c>
      <c r="Q51" s="77"/>
      <c r="R51" s="78"/>
      <c r="S51" s="51"/>
      <c r="T51" s="2"/>
    </row>
    <row r="52" spans="1:20" s="79" customFormat="1" ht="15" customHeight="1" x14ac:dyDescent="0.25">
      <c r="A52" s="231"/>
      <c r="B52" s="232"/>
      <c r="C52" s="233"/>
      <c r="D52" s="80"/>
      <c r="E52" s="80"/>
      <c r="F52" s="80"/>
      <c r="G52" s="80"/>
      <c r="H52" s="80"/>
      <c r="I52" s="80"/>
      <c r="J52" s="80" t="s">
        <v>2</v>
      </c>
      <c r="K52" s="81">
        <f>SUMIF($J$5:$J$50,J52,$K$5:$K$50)</f>
        <v>76208933760.600006</v>
      </c>
      <c r="L52" s="81">
        <f>SUMIF($J$5:$J$50,J52,$L$5:$L$50)</f>
        <v>75012763657.5</v>
      </c>
      <c r="M52" s="81"/>
      <c r="N52" s="81">
        <f>SUMIF($J$5:$J$50,J52,$N$5:$N$50)</f>
        <v>20623017784.976318</v>
      </c>
      <c r="O52" s="81">
        <f>SUMIF($J$5:$J$50,J52,$O$5:$O$50)</f>
        <v>19941075084.821751</v>
      </c>
      <c r="P52" s="81">
        <f>SUMIF($J$5:$J$50,J52,$P$5:$P$50)</f>
        <v>54389745872.523682</v>
      </c>
      <c r="Q52" s="82"/>
      <c r="R52" s="83"/>
      <c r="S52" s="51"/>
      <c r="T52" s="2"/>
    </row>
    <row r="53" spans="1:20" s="79" customFormat="1" ht="15" customHeight="1" x14ac:dyDescent="0.25">
      <c r="A53" s="231"/>
      <c r="B53" s="232"/>
      <c r="C53" s="233"/>
      <c r="D53" s="80"/>
      <c r="E53" s="80"/>
      <c r="F53" s="80"/>
      <c r="G53" s="80"/>
      <c r="H53" s="80"/>
      <c r="I53" s="80"/>
      <c r="J53" s="80" t="s">
        <v>47</v>
      </c>
      <c r="K53" s="81">
        <f>SUMIF($J$5:$J$50,J53,$K$5:$K$50)</f>
        <v>483654882.94</v>
      </c>
      <c r="L53" s="81">
        <f>SUMIF($J$5:$J$50,J53,$L$5:$L$50)</f>
        <v>326733229.05000007</v>
      </c>
      <c r="M53" s="81"/>
      <c r="N53" s="81">
        <f>SUMIF($J$5:$J$50,J53,$N$5:$N$50)</f>
        <v>127612256.41354823</v>
      </c>
      <c r="O53" s="81">
        <f>SUMIF($J$5:$J$50,J53,$O$5:$O$50)</f>
        <v>67270719.769554108</v>
      </c>
      <c r="P53" s="81">
        <f>SUMIF($J$5:$J$50,J53,$P$5:$P$50)</f>
        <v>199120972.63645181</v>
      </c>
      <c r="Q53" s="82"/>
      <c r="R53" s="83"/>
      <c r="S53" s="51"/>
      <c r="T53" s="2"/>
    </row>
    <row r="54" spans="1:20" s="79" customFormat="1" ht="15" customHeight="1" x14ac:dyDescent="0.25">
      <c r="A54" s="231"/>
      <c r="B54" s="232"/>
      <c r="C54" s="233"/>
      <c r="D54" s="84"/>
      <c r="E54" s="84"/>
      <c r="F54" s="84"/>
      <c r="G54" s="84"/>
      <c r="H54" s="84"/>
      <c r="I54" s="84"/>
      <c r="J54" s="84" t="s">
        <v>67</v>
      </c>
      <c r="K54" s="85">
        <f>SUMIF($J$5:$J$50,J54,$K$5:$K$50)</f>
        <v>31777311969</v>
      </c>
      <c r="L54" s="85">
        <f>SUMIF($J$5:$J$50,J54,$L$5:$L$50)</f>
        <v>31859249643</v>
      </c>
      <c r="M54" s="85"/>
      <c r="N54" s="85">
        <f>SUMIF($J$5:$J$50,J54,$N$5:$N$50)</f>
        <v>13318630440.231791</v>
      </c>
      <c r="O54" s="85">
        <f>SUMIF($J$5:$J$50,J54,$O$5:$O$50)</f>
        <v>3728665131.7821455</v>
      </c>
      <c r="P54" s="85">
        <f>SUMIF($J$5:$J$50,J54,$P$5:$P$50)</f>
        <v>18540619202.768208</v>
      </c>
      <c r="Q54" s="86"/>
      <c r="R54" s="87"/>
      <c r="S54" s="51"/>
      <c r="T54" s="2"/>
    </row>
    <row r="55" spans="1:20" s="79" customFormat="1" ht="15" customHeight="1" thickBot="1" x14ac:dyDescent="0.3">
      <c r="A55" s="234"/>
      <c r="B55" s="235"/>
      <c r="C55" s="236"/>
      <c r="D55" s="88"/>
      <c r="E55" s="88"/>
      <c r="F55" s="88"/>
      <c r="G55" s="88"/>
      <c r="H55" s="89"/>
      <c r="I55" s="90"/>
      <c r="J55" s="91" t="s">
        <v>57</v>
      </c>
      <c r="K55" s="92">
        <f>SUMIF($J$5:$J$50,J55,$K$5:$K$50)</f>
        <v>24086688</v>
      </c>
      <c r="L55" s="92">
        <f>SUMIF($J$5:$J$50,J55,$L$5:$L$50)</f>
        <v>18384172.012149811</v>
      </c>
      <c r="M55" s="92"/>
      <c r="N55" s="92">
        <f>SUMIF($J$5:$J$50,J55,$N$5:$N$50)</f>
        <v>5292032.3060382511</v>
      </c>
      <c r="O55" s="92">
        <f>SUMIF($J$5:$J$50,J55,$O$5:$O$50)</f>
        <v>3348306.862633937</v>
      </c>
      <c r="P55" s="92">
        <f>SUMIF($J$5:$J$50,J55,$P$5:$P$50)</f>
        <v>13092139.706111558</v>
      </c>
      <c r="Q55" s="93"/>
      <c r="R55" s="94"/>
      <c r="S55" s="51"/>
      <c r="T55" s="2"/>
    </row>
    <row r="56" spans="1:20" ht="96.75" customHeight="1" outlineLevel="1" x14ac:dyDescent="0.25">
      <c r="A56" s="95">
        <v>28</v>
      </c>
      <c r="B56" s="96" t="s">
        <v>108</v>
      </c>
      <c r="C56" s="18" t="s">
        <v>109</v>
      </c>
      <c r="D56" s="19" t="s">
        <v>110</v>
      </c>
      <c r="E56" s="19" t="s">
        <v>462</v>
      </c>
      <c r="F56" s="64" t="s">
        <v>449</v>
      </c>
      <c r="G56" s="19" t="s">
        <v>423</v>
      </c>
      <c r="H56" s="64" t="s">
        <v>306</v>
      </c>
      <c r="I56" s="64" t="s">
        <v>111</v>
      </c>
      <c r="J56" s="20" t="s">
        <v>25</v>
      </c>
      <c r="K56" s="21">
        <v>5000000</v>
      </c>
      <c r="L56" s="21">
        <v>5000000</v>
      </c>
      <c r="M56" s="97" t="s">
        <v>112</v>
      </c>
      <c r="N56" s="21">
        <f>4166666.69+208333.33+88124985.9/423+87866652.7/421.76+87864653.7/421.75</f>
        <v>5000000.1203959631</v>
      </c>
      <c r="O56" s="21">
        <v>583240</v>
      </c>
      <c r="P56" s="21">
        <f t="shared" ref="P56:P61" si="2">L56-N56</f>
        <v>-0.12039596308022738</v>
      </c>
      <c r="Q56" s="23" t="s">
        <v>71</v>
      </c>
      <c r="R56" s="24" t="s">
        <v>485</v>
      </c>
      <c r="T56" s="2"/>
    </row>
    <row r="57" spans="1:20" ht="86.25" customHeight="1" outlineLevel="1" x14ac:dyDescent="0.25">
      <c r="A57" s="61">
        <v>29</v>
      </c>
      <c r="B57" s="45" t="s">
        <v>113</v>
      </c>
      <c r="C57" s="25" t="s">
        <v>114</v>
      </c>
      <c r="D57" s="98" t="s">
        <v>110</v>
      </c>
      <c r="E57" s="240" t="s">
        <v>462</v>
      </c>
      <c r="F57" s="250" t="s">
        <v>450</v>
      </c>
      <c r="G57" s="98" t="s">
        <v>423</v>
      </c>
      <c r="H57" s="250" t="s">
        <v>307</v>
      </c>
      <c r="I57" s="250" t="s">
        <v>115</v>
      </c>
      <c r="J57" s="27" t="s">
        <v>25</v>
      </c>
      <c r="K57" s="28">
        <v>5000000</v>
      </c>
      <c r="L57" s="28">
        <v>5000000</v>
      </c>
      <c r="M57" s="39" t="s">
        <v>112</v>
      </c>
      <c r="N57" s="28">
        <f>3125000+208333.33+88124985.9/423+87866652.7/421.76+87864569.3/421.75+92314568.6/443.11</f>
        <v>4166666.530360911</v>
      </c>
      <c r="O57" s="28">
        <f>427171.1+9524250.7/443.11</f>
        <v>448665.20011058199</v>
      </c>
      <c r="P57" s="28">
        <f t="shared" si="2"/>
        <v>833333.46963908896</v>
      </c>
      <c r="Q57" s="242" t="s">
        <v>71</v>
      </c>
      <c r="R57" s="31" t="s">
        <v>424</v>
      </c>
      <c r="T57" s="2"/>
    </row>
    <row r="58" spans="1:20" ht="84.75" customHeight="1" outlineLevel="1" x14ac:dyDescent="0.25">
      <c r="A58" s="61">
        <v>30</v>
      </c>
      <c r="B58" s="45" t="s">
        <v>113</v>
      </c>
      <c r="C58" s="18" t="s">
        <v>541</v>
      </c>
      <c r="D58" s="98" t="s">
        <v>408</v>
      </c>
      <c r="E58" s="241"/>
      <c r="F58" s="251"/>
      <c r="G58" s="98" t="s">
        <v>425</v>
      </c>
      <c r="H58" s="251"/>
      <c r="I58" s="251"/>
      <c r="J58" s="99" t="s">
        <v>2</v>
      </c>
      <c r="K58" s="28">
        <v>66094595</v>
      </c>
      <c r="L58" s="28">
        <v>66094595</v>
      </c>
      <c r="M58" s="39" t="s">
        <v>112</v>
      </c>
      <c r="N58" s="28">
        <f>6609471.44+6609433.4+6609473.7+6609459.5+6609459.5+6609459.5</f>
        <v>39656757.039999999</v>
      </c>
      <c r="O58" s="28">
        <f>4464832.29773529+681909</f>
        <v>5146741.2977352897</v>
      </c>
      <c r="P58" s="28">
        <f t="shared" si="2"/>
        <v>26437837.960000001</v>
      </c>
      <c r="Q58" s="243"/>
      <c r="R58" s="31" t="s">
        <v>424</v>
      </c>
      <c r="T58" s="2"/>
    </row>
    <row r="59" spans="1:20" ht="89.25" customHeight="1" outlineLevel="1" x14ac:dyDescent="0.25">
      <c r="A59" s="32">
        <v>31</v>
      </c>
      <c r="B59" s="49" t="s">
        <v>116</v>
      </c>
      <c r="C59" s="25" t="s">
        <v>117</v>
      </c>
      <c r="D59" s="26" t="s">
        <v>118</v>
      </c>
      <c r="E59" s="26" t="s">
        <v>462</v>
      </c>
      <c r="F59" s="37" t="s">
        <v>451</v>
      </c>
      <c r="G59" s="26" t="s">
        <v>423</v>
      </c>
      <c r="H59" s="37" t="s">
        <v>308</v>
      </c>
      <c r="I59" s="37" t="s">
        <v>119</v>
      </c>
      <c r="J59" s="27" t="s">
        <v>25</v>
      </c>
      <c r="K59" s="28">
        <v>5000000</v>
      </c>
      <c r="L59" s="28">
        <v>5000000</v>
      </c>
      <c r="M59" s="35" t="s">
        <v>112</v>
      </c>
      <c r="N59" s="28">
        <f>3227272.74+97124988.4/427.35+96136352.1/423+95854533.9/421.76+95852303.4/421.75+100706806.1/443.11</f>
        <v>4363636.3400121778</v>
      </c>
      <c r="O59" s="28">
        <v>550222</v>
      </c>
      <c r="P59" s="28">
        <f t="shared" si="2"/>
        <v>636363.65998782218</v>
      </c>
      <c r="Q59" s="30" t="s">
        <v>71</v>
      </c>
      <c r="R59" s="31" t="s">
        <v>424</v>
      </c>
      <c r="T59" s="2"/>
    </row>
    <row r="60" spans="1:20" ht="57" customHeight="1" outlineLevel="1" x14ac:dyDescent="0.25">
      <c r="A60" s="245">
        <v>32</v>
      </c>
      <c r="B60" s="45" t="s">
        <v>120</v>
      </c>
      <c r="C60" s="242" t="s">
        <v>121</v>
      </c>
      <c r="D60" s="98" t="s">
        <v>118</v>
      </c>
      <c r="E60" s="240" t="s">
        <v>462</v>
      </c>
      <c r="F60" s="37" t="s">
        <v>452</v>
      </c>
      <c r="G60" s="98" t="s">
        <v>423</v>
      </c>
      <c r="H60" s="100" t="s">
        <v>309</v>
      </c>
      <c r="I60" s="100" t="s">
        <v>122</v>
      </c>
      <c r="J60" s="99" t="s">
        <v>25</v>
      </c>
      <c r="K60" s="101">
        <v>5000000</v>
      </c>
      <c r="L60" s="28">
        <f>3000000+2000000</f>
        <v>5000000</v>
      </c>
      <c r="M60" s="102" t="s">
        <v>265</v>
      </c>
      <c r="N60" s="28">
        <f>676724.137931034+46797420.6/423+46660236.7/421.76+46659130.4/421.75+49022234.1/443.11</f>
        <v>1119252.9380211914</v>
      </c>
      <c r="O60" s="28">
        <f>264937.427195312+21845766.1/443.11</f>
        <v>314238.42717274424</v>
      </c>
      <c r="P60" s="101">
        <f t="shared" si="2"/>
        <v>3880747.0619788086</v>
      </c>
      <c r="Q60" s="242" t="s">
        <v>71</v>
      </c>
      <c r="R60" s="31" t="s">
        <v>424</v>
      </c>
      <c r="T60" s="2"/>
    </row>
    <row r="61" spans="1:20" ht="57" customHeight="1" outlineLevel="1" thickBot="1" x14ac:dyDescent="0.3">
      <c r="A61" s="252"/>
      <c r="B61" s="45" t="s">
        <v>120</v>
      </c>
      <c r="C61" s="253"/>
      <c r="D61" s="98" t="s">
        <v>408</v>
      </c>
      <c r="E61" s="254"/>
      <c r="F61" s="98"/>
      <c r="G61" s="98" t="s">
        <v>425</v>
      </c>
      <c r="H61" s="100" t="s">
        <v>309</v>
      </c>
      <c r="I61" s="100" t="s">
        <v>254</v>
      </c>
      <c r="J61" s="99" t="s">
        <v>2</v>
      </c>
      <c r="K61" s="101">
        <v>188100081.11000004</v>
      </c>
      <c r="L61" s="28">
        <v>188100081.11000004</v>
      </c>
      <c r="M61" s="102">
        <v>1.404E-2</v>
      </c>
      <c r="N61" s="28">
        <f>9751561.92837819+3148517+4073473.9+4413816.1+8906910</f>
        <v>30294278.928378187</v>
      </c>
      <c r="O61" s="28">
        <f>2860113.02682379+907883.8</f>
        <v>3767996.8268237896</v>
      </c>
      <c r="P61" s="101">
        <f t="shared" si="2"/>
        <v>157805802.18162185</v>
      </c>
      <c r="Q61" s="253"/>
      <c r="R61" s="103" t="s">
        <v>424</v>
      </c>
      <c r="T61" s="2"/>
    </row>
    <row r="62" spans="1:20" s="79" customFormat="1" ht="15" customHeight="1" x14ac:dyDescent="0.25">
      <c r="A62" s="237" t="s">
        <v>123</v>
      </c>
      <c r="B62" s="238"/>
      <c r="C62" s="239"/>
      <c r="D62" s="104"/>
      <c r="E62" s="104"/>
      <c r="F62" s="104"/>
      <c r="G62" s="75"/>
      <c r="H62" s="75"/>
      <c r="I62" s="75"/>
      <c r="J62" s="75" t="s">
        <v>25</v>
      </c>
      <c r="K62" s="76">
        <f>SUMIF($J$56:$J$61,J62,$K$56:$K$61)</f>
        <v>20000000</v>
      </c>
      <c r="L62" s="76">
        <f>SUMIF($J$56:$J$61,J62,$L$56:$L$61)</f>
        <v>20000000</v>
      </c>
      <c r="M62" s="105"/>
      <c r="N62" s="76">
        <f>SUMIF($J$56:$J$61,J62,$N$56:$N$61)</f>
        <v>14649555.928790241</v>
      </c>
      <c r="O62" s="76">
        <f>SUMIF($J$56:$J$61,J62,$O$56:$O$61)</f>
        <v>1896365.6272833261</v>
      </c>
      <c r="P62" s="76">
        <f>SUMIF($J$56:$J$61,J62,$P$56:$P$61)</f>
        <v>5350444.0712097567</v>
      </c>
      <c r="Q62" s="77"/>
      <c r="R62" s="78"/>
      <c r="S62" s="51"/>
      <c r="T62" s="2"/>
    </row>
    <row r="63" spans="1:20" s="79" customFormat="1" ht="15" customHeight="1" x14ac:dyDescent="0.25">
      <c r="A63" s="231"/>
      <c r="B63" s="232"/>
      <c r="C63" s="233"/>
      <c r="D63" s="106"/>
      <c r="E63" s="106"/>
      <c r="F63" s="106"/>
      <c r="G63" s="80"/>
      <c r="H63" s="80"/>
      <c r="I63" s="80"/>
      <c r="J63" s="80" t="s">
        <v>2</v>
      </c>
      <c r="K63" s="81">
        <f>SUMIF($J$56:$J$61,J63,$K$56:$K$61)</f>
        <v>254194676.11000004</v>
      </c>
      <c r="L63" s="81">
        <f>SUMIF($J$56:$J$61,J63,$L$56:$L$61)</f>
        <v>254194676.11000004</v>
      </c>
      <c r="M63" s="81"/>
      <c r="N63" s="81">
        <f>SUMIF($J$56:$J$61,J63,$N$56:$N$61)</f>
        <v>69951035.968378186</v>
      </c>
      <c r="O63" s="81">
        <f>SUMIF($J$56:$J$61,J63,$O$56:$O$61)</f>
        <v>8914738.1245590784</v>
      </c>
      <c r="P63" s="81">
        <f>SUMIF($J$56:$J$61,J63,$P$56:$P$61)</f>
        <v>184243640.14162186</v>
      </c>
      <c r="Q63" s="82"/>
      <c r="R63" s="83"/>
      <c r="S63" s="51"/>
      <c r="T63" s="2"/>
    </row>
    <row r="64" spans="1:20" s="79" customFormat="1" ht="15" customHeight="1" x14ac:dyDescent="0.25">
      <c r="A64" s="231"/>
      <c r="B64" s="232"/>
      <c r="C64" s="233"/>
      <c r="D64" s="106"/>
      <c r="E64" s="106"/>
      <c r="F64" s="106"/>
      <c r="G64" s="80"/>
      <c r="H64" s="80"/>
      <c r="I64" s="80"/>
      <c r="J64" s="80" t="s">
        <v>47</v>
      </c>
      <c r="K64" s="81">
        <f>SUMIF($J$56:$J$61,J64,$K$56:$K$61)</f>
        <v>0</v>
      </c>
      <c r="L64" s="81">
        <f>SUMIF($J$56:$J$61,J64,$L$56:$L$61)</f>
        <v>0</v>
      </c>
      <c r="M64" s="81"/>
      <c r="N64" s="81">
        <f>SUMIF($J$56:$J$61,J64,$N$56:$N$61)</f>
        <v>0</v>
      </c>
      <c r="O64" s="81">
        <f>SUMIF($J$56:$J$61,J64,$O$56:$O$61)</f>
        <v>0</v>
      </c>
      <c r="P64" s="81">
        <f>SUMIF($J$56:$J$61,J64,$P$56:$P$61)</f>
        <v>0</v>
      </c>
      <c r="Q64" s="82"/>
      <c r="R64" s="83"/>
      <c r="S64" s="51"/>
      <c r="T64" s="2"/>
    </row>
    <row r="65" spans="1:20" s="79" customFormat="1" ht="15" customHeight="1" thickBot="1" x14ac:dyDescent="0.3">
      <c r="A65" s="234"/>
      <c r="B65" s="235"/>
      <c r="C65" s="236"/>
      <c r="D65" s="107"/>
      <c r="E65" s="107"/>
      <c r="F65" s="107"/>
      <c r="G65" s="88"/>
      <c r="H65" s="88"/>
      <c r="I65" s="88"/>
      <c r="J65" s="88" t="s">
        <v>67</v>
      </c>
      <c r="K65" s="92">
        <f>SUMIF($J$56:$J$61,J65,$K$56:$K$61)</f>
        <v>0</v>
      </c>
      <c r="L65" s="92">
        <f>SUMIF($J$56:$J$61,J65,$L$56:$L$61)</f>
        <v>0</v>
      </c>
      <c r="M65" s="92"/>
      <c r="N65" s="92">
        <f>SUMIF($J$56:$J$61,J65,$N$56:$N$61)</f>
        <v>0</v>
      </c>
      <c r="O65" s="92">
        <f>SUMIF($J$56:$J$61,J65,$O$56:$O$61)</f>
        <v>0</v>
      </c>
      <c r="P65" s="92">
        <f>SUMIF($J$56:$J$61,J65,$P$56:$P$61)</f>
        <v>0</v>
      </c>
      <c r="Q65" s="93"/>
      <c r="R65" s="94"/>
      <c r="S65" s="51"/>
      <c r="T65" s="2"/>
    </row>
    <row r="66" spans="1:20" s="17" customFormat="1" ht="91.5" customHeight="1" outlineLevel="1" x14ac:dyDescent="0.25">
      <c r="A66" s="32">
        <v>33</v>
      </c>
      <c r="B66" s="25" t="s">
        <v>124</v>
      </c>
      <c r="C66" s="25" t="s">
        <v>125</v>
      </c>
      <c r="D66" s="18" t="s">
        <v>411</v>
      </c>
      <c r="E66" s="108" t="s">
        <v>542</v>
      </c>
      <c r="F66" s="108" t="s">
        <v>310</v>
      </c>
      <c r="G66" s="26" t="s">
        <v>399</v>
      </c>
      <c r="H66" s="108"/>
      <c r="I66" s="25" t="s">
        <v>126</v>
      </c>
      <c r="J66" s="25" t="s">
        <v>2</v>
      </c>
      <c r="K66" s="28">
        <v>74000000000</v>
      </c>
      <c r="L66" s="28">
        <v>74000000000</v>
      </c>
      <c r="M66" s="35" t="s">
        <v>127</v>
      </c>
      <c r="N66" s="28">
        <f>38761904762.2+1761904761.9+1761904761.9+1761904761.9+1761904761.9+1761904761.9+1761904761.9+1761904761.9+1761904761.9+1761904761.9+1761904761.9+1761904761.9+1761904761.9+1761904761.9+1761904761.9+1761904761.9+1761904762+1761904762+1761904761.9</f>
        <v>70476190476.600021</v>
      </c>
      <c r="O66" s="28">
        <f>27971909177.5+338144.2+498915.4+526901.3+642474.8+795979.5+10421637.5+1734045.9+86178.9+156588.3+335841+256258.7+369392+1307877+6082866+2634+4444.2+89905.9+254774+505184+484050.8+3446957.7</f>
        <v>28000250228.600006</v>
      </c>
      <c r="P66" s="56">
        <f>L66-N66</f>
        <v>3523809523.3999786</v>
      </c>
      <c r="Q66" s="30" t="s">
        <v>71</v>
      </c>
      <c r="R66" s="31" t="s">
        <v>424</v>
      </c>
      <c r="S66" s="109"/>
      <c r="T66" s="2"/>
    </row>
    <row r="67" spans="1:20" s="17" customFormat="1" ht="91.5" customHeight="1" outlineLevel="1" x14ac:dyDescent="0.25">
      <c r="A67" s="32">
        <v>34</v>
      </c>
      <c r="B67" s="25" t="s">
        <v>124</v>
      </c>
      <c r="C67" s="25" t="s">
        <v>128</v>
      </c>
      <c r="D67" s="25" t="s">
        <v>23</v>
      </c>
      <c r="E67" s="108" t="s">
        <v>543</v>
      </c>
      <c r="F67" s="108" t="s">
        <v>311</v>
      </c>
      <c r="G67" s="26" t="s">
        <v>399</v>
      </c>
      <c r="H67" s="108"/>
      <c r="I67" s="25" t="s">
        <v>129</v>
      </c>
      <c r="J67" s="25" t="s">
        <v>2</v>
      </c>
      <c r="K67" s="28">
        <v>2035890300</v>
      </c>
      <c r="L67" s="28">
        <v>2035890300</v>
      </c>
      <c r="M67" s="35" t="s">
        <v>40</v>
      </c>
      <c r="N67" s="28">
        <v>0</v>
      </c>
      <c r="O67" s="28">
        <v>0</v>
      </c>
      <c r="P67" s="56">
        <f t="shared" ref="P67:P72" si="3">L67-N67</f>
        <v>2035890300</v>
      </c>
      <c r="Q67" s="30" t="s">
        <v>71</v>
      </c>
      <c r="R67" s="31" t="s">
        <v>424</v>
      </c>
      <c r="S67" s="109"/>
      <c r="T67" s="2"/>
    </row>
    <row r="68" spans="1:20" ht="81" outlineLevel="1" x14ac:dyDescent="0.25">
      <c r="A68" s="95">
        <v>35</v>
      </c>
      <c r="B68" s="49" t="s">
        <v>130</v>
      </c>
      <c r="C68" s="25" t="s">
        <v>131</v>
      </c>
      <c r="D68" s="26" t="s">
        <v>23</v>
      </c>
      <c r="E68" s="26" t="s">
        <v>544</v>
      </c>
      <c r="F68" s="26" t="s">
        <v>545</v>
      </c>
      <c r="G68" s="26" t="s">
        <v>423</v>
      </c>
      <c r="H68" s="108" t="s">
        <v>546</v>
      </c>
      <c r="I68" s="26" t="s">
        <v>132</v>
      </c>
      <c r="J68" s="27" t="s">
        <v>25</v>
      </c>
      <c r="K68" s="28">
        <v>3500000</v>
      </c>
      <c r="L68" s="28">
        <v>3500000</v>
      </c>
      <c r="M68" s="35">
        <v>7.4999999999999997E-3</v>
      </c>
      <c r="N68" s="28">
        <f>696000+31440060/542.07+58000+24255020/418.19+24400600/420.7+25920780/446.91+24152360/416.42+23862360/411.42+25942240/447.28</f>
        <v>1160000</v>
      </c>
      <c r="O68" s="28">
        <f>399592.922231146+10515+10297.5+4215355.2/418.19+4149153.8/420.7+4310447/446.91+3925799.6/416.42+3789178.2/411.42+4022165.4/447.28</f>
        <v>477622.92258194601</v>
      </c>
      <c r="P68" s="56">
        <f t="shared" si="3"/>
        <v>2340000</v>
      </c>
      <c r="Q68" s="30" t="s">
        <v>71</v>
      </c>
      <c r="R68" s="31" t="s">
        <v>424</v>
      </c>
      <c r="T68" s="2"/>
    </row>
    <row r="69" spans="1:20" ht="128.25" customHeight="1" outlineLevel="1" x14ac:dyDescent="0.25">
      <c r="A69" s="32">
        <v>36</v>
      </c>
      <c r="B69" s="49" t="s">
        <v>133</v>
      </c>
      <c r="C69" s="25" t="s">
        <v>134</v>
      </c>
      <c r="D69" s="25" t="s">
        <v>135</v>
      </c>
      <c r="E69" s="25" t="s">
        <v>547</v>
      </c>
      <c r="F69" s="29" t="s">
        <v>312</v>
      </c>
      <c r="G69" s="26" t="s">
        <v>399</v>
      </c>
      <c r="H69" s="29"/>
      <c r="I69" s="26" t="s">
        <v>136</v>
      </c>
      <c r="J69" s="27" t="s">
        <v>47</v>
      </c>
      <c r="K69" s="56">
        <v>1689937.9</v>
      </c>
      <c r="L69" s="28">
        <v>1689937.9</v>
      </c>
      <c r="M69" s="54">
        <v>5.9900000000000002E-2</v>
      </c>
      <c r="N69" s="28">
        <f>872805.23+28165+28165+28165+28165+28165</f>
        <v>1013630.23</v>
      </c>
      <c r="O69" s="28">
        <f>1964862.47+25588.58+24871.58+24276.42+23029.84+21873.13</f>
        <v>2084502.02</v>
      </c>
      <c r="P69" s="56">
        <f t="shared" si="3"/>
        <v>676307.66999999993</v>
      </c>
      <c r="Q69" s="110" t="s">
        <v>71</v>
      </c>
      <c r="R69" s="111" t="s">
        <v>424</v>
      </c>
      <c r="T69" s="2"/>
    </row>
    <row r="70" spans="1:20" ht="98.25" customHeight="1" outlineLevel="1" x14ac:dyDescent="0.25">
      <c r="A70" s="95">
        <v>37</v>
      </c>
      <c r="B70" s="49" t="s">
        <v>137</v>
      </c>
      <c r="C70" s="25" t="s">
        <v>138</v>
      </c>
      <c r="D70" s="25" t="s">
        <v>135</v>
      </c>
      <c r="E70" s="25" t="s">
        <v>548</v>
      </c>
      <c r="F70" s="29" t="s">
        <v>313</v>
      </c>
      <c r="G70" s="26" t="s">
        <v>399</v>
      </c>
      <c r="H70" s="29"/>
      <c r="I70" s="26" t="s">
        <v>139</v>
      </c>
      <c r="J70" s="27" t="s">
        <v>47</v>
      </c>
      <c r="K70" s="56">
        <v>2828000</v>
      </c>
      <c r="L70" s="28">
        <v>2828000</v>
      </c>
      <c r="M70" s="54">
        <v>5.9900000000000002E-2</v>
      </c>
      <c r="N70" s="56">
        <f>1128831.5+47000+47000+47000+47000</f>
        <v>1316831.5</v>
      </c>
      <c r="O70" s="28">
        <f>1731608.85+50775.51+49371.71+48231.48+46564.13</f>
        <v>1926551.68</v>
      </c>
      <c r="P70" s="56">
        <f t="shared" si="3"/>
        <v>1511168.5</v>
      </c>
      <c r="Q70" s="110" t="s">
        <v>71</v>
      </c>
      <c r="R70" s="111" t="s">
        <v>424</v>
      </c>
      <c r="T70" s="2"/>
    </row>
    <row r="71" spans="1:20" s="115" customFormat="1" ht="140.25" customHeight="1" outlineLevel="1" x14ac:dyDescent="0.25">
      <c r="A71" s="32">
        <v>38</v>
      </c>
      <c r="B71" s="49" t="s">
        <v>140</v>
      </c>
      <c r="C71" s="25" t="s">
        <v>141</v>
      </c>
      <c r="D71" s="25" t="s">
        <v>135</v>
      </c>
      <c r="E71" s="49" t="s">
        <v>549</v>
      </c>
      <c r="F71" s="26" t="s">
        <v>314</v>
      </c>
      <c r="G71" s="26" t="s">
        <v>550</v>
      </c>
      <c r="H71" s="26"/>
      <c r="I71" s="26" t="s">
        <v>142</v>
      </c>
      <c r="J71" s="25" t="s">
        <v>2</v>
      </c>
      <c r="K71" s="112">
        <v>2092000000</v>
      </c>
      <c r="L71" s="28">
        <v>2092000000</v>
      </c>
      <c r="M71" s="113">
        <v>0.02</v>
      </c>
      <c r="N71" s="28">
        <f>354576270+35457627.1+35457627+35457627+35457627+35457627.12</f>
        <v>531864405.22000003</v>
      </c>
      <c r="O71" s="28">
        <f>426427783.87+17517039.3+16879773.4+16802058.1+16265822.2+16087076.86</f>
        <v>509979553.73000002</v>
      </c>
      <c r="P71" s="56">
        <f t="shared" si="3"/>
        <v>1560135594.78</v>
      </c>
      <c r="Q71" s="110" t="s">
        <v>71</v>
      </c>
      <c r="R71" s="111" t="s">
        <v>424</v>
      </c>
      <c r="S71" s="114"/>
      <c r="T71" s="2"/>
    </row>
    <row r="72" spans="1:20" s="115" customFormat="1" ht="151.5" customHeight="1" outlineLevel="1" thickBot="1" x14ac:dyDescent="0.3">
      <c r="A72" s="116">
        <v>39</v>
      </c>
      <c r="B72" s="117" t="s">
        <v>140</v>
      </c>
      <c r="C72" s="118" t="s">
        <v>143</v>
      </c>
      <c r="D72" s="118" t="s">
        <v>135</v>
      </c>
      <c r="E72" s="118" t="s">
        <v>551</v>
      </c>
      <c r="F72" s="119" t="s">
        <v>315</v>
      </c>
      <c r="G72" s="26" t="s">
        <v>550</v>
      </c>
      <c r="H72" s="119"/>
      <c r="I72" s="119" t="s">
        <v>144</v>
      </c>
      <c r="J72" s="119" t="s">
        <v>2</v>
      </c>
      <c r="K72" s="120">
        <v>2187306400</v>
      </c>
      <c r="L72" s="120">
        <v>2187306400</v>
      </c>
      <c r="M72" s="121">
        <v>0.03</v>
      </c>
      <c r="N72" s="122">
        <v>75424358.620000005</v>
      </c>
      <c r="O72" s="122">
        <f>224789707.9+33079263.9+32539928.1+33079263.9+32719706.7+33079263.9</f>
        <v>389287134.39999998</v>
      </c>
      <c r="P72" s="123">
        <f t="shared" si="3"/>
        <v>2111882041.3800001</v>
      </c>
      <c r="Q72" s="124" t="s">
        <v>71</v>
      </c>
      <c r="R72" s="125" t="s">
        <v>424</v>
      </c>
      <c r="S72" s="114"/>
      <c r="T72" s="2"/>
    </row>
    <row r="73" spans="1:20" s="79" customFormat="1" ht="15" customHeight="1" x14ac:dyDescent="0.25">
      <c r="A73" s="231" t="s">
        <v>145</v>
      </c>
      <c r="B73" s="232"/>
      <c r="C73" s="233"/>
      <c r="D73" s="126"/>
      <c r="E73" s="126"/>
      <c r="F73" s="126"/>
      <c r="G73" s="127"/>
      <c r="H73" s="127"/>
      <c r="I73" s="127"/>
      <c r="J73" s="127" t="s">
        <v>25</v>
      </c>
      <c r="K73" s="128">
        <f>SUMIF($J$66:$J$72,J73,$K$66:$K$72)</f>
        <v>3500000</v>
      </c>
      <c r="L73" s="128">
        <f>SUMIF($J$66:$J$72,J73,$L$66:$L$72)</f>
        <v>3500000</v>
      </c>
      <c r="M73" s="128"/>
      <c r="N73" s="128">
        <f>SUMIF($J$66:$J$72,J73,$N$66:$N$72)</f>
        <v>1160000</v>
      </c>
      <c r="O73" s="128">
        <f>SUMIF($J$66:$J$72,J73,$O$66:$O$72)</f>
        <v>477622.92258194601</v>
      </c>
      <c r="P73" s="128">
        <f>SUMIF($J$66:$J$72,J73,$P$66:$P$72)</f>
        <v>2340000</v>
      </c>
      <c r="Q73" s="129"/>
      <c r="R73" s="78"/>
      <c r="S73" s="51"/>
      <c r="T73" s="2"/>
    </row>
    <row r="74" spans="1:20" s="79" customFormat="1" ht="15" customHeight="1" x14ac:dyDescent="0.25">
      <c r="A74" s="231"/>
      <c r="B74" s="232"/>
      <c r="C74" s="233"/>
      <c r="D74" s="106"/>
      <c r="E74" s="106"/>
      <c r="F74" s="106"/>
      <c r="G74" s="80"/>
      <c r="H74" s="80"/>
      <c r="I74" s="80"/>
      <c r="J74" s="80" t="s">
        <v>2</v>
      </c>
      <c r="K74" s="81">
        <f>SUMIF($J$66:$J$72,J74,$K$66:$K$72)</f>
        <v>80315196700</v>
      </c>
      <c r="L74" s="81">
        <f>SUMIF($J$66:$J$72,J74,$L$66:$L$72)</f>
        <v>80315196700</v>
      </c>
      <c r="M74" s="81"/>
      <c r="N74" s="81">
        <f>SUMIF($J$66:$J$72,J74,$N$66:$N$72)</f>
        <v>71083479240.440018</v>
      </c>
      <c r="O74" s="81">
        <f>SUMIF($J$66:$J$72,J74,$O$66:$O$72)</f>
        <v>28899516916.730007</v>
      </c>
      <c r="P74" s="81">
        <f>SUMIF($J$66:$J$72,J74,$P$66:$P$72)</f>
        <v>9231717459.5599785</v>
      </c>
      <c r="Q74" s="82"/>
      <c r="R74" s="83"/>
      <c r="S74" s="51"/>
      <c r="T74" s="2"/>
    </row>
    <row r="75" spans="1:20" s="79" customFormat="1" ht="15" customHeight="1" x14ac:dyDescent="0.25">
      <c r="A75" s="231"/>
      <c r="B75" s="232"/>
      <c r="C75" s="233"/>
      <c r="D75" s="106"/>
      <c r="E75" s="106"/>
      <c r="F75" s="106"/>
      <c r="G75" s="80"/>
      <c r="H75" s="80"/>
      <c r="I75" s="80"/>
      <c r="J75" s="80" t="s">
        <v>47</v>
      </c>
      <c r="K75" s="81">
        <f>SUMIF($J$66:$J$72,J75,$K$66:$K$72)</f>
        <v>4517937.9000000004</v>
      </c>
      <c r="L75" s="81">
        <f>SUMIF($J$66:$J$72,J75,$L$66:$L$72)</f>
        <v>4517937.9000000004</v>
      </c>
      <c r="M75" s="81"/>
      <c r="N75" s="81">
        <f>SUMIF($J$66:$J$72,J75,$N$66:$N$72)</f>
        <v>2330461.73</v>
      </c>
      <c r="O75" s="81">
        <f>SUMIF($J$66:$J$72,J75,$O$66:$O$72)</f>
        <v>4011053.7</v>
      </c>
      <c r="P75" s="81">
        <f>SUMIF($J$66:$J$72,J75,$P$66:$P$72)</f>
        <v>2187476.17</v>
      </c>
      <c r="Q75" s="82"/>
      <c r="R75" s="83"/>
      <c r="S75" s="51"/>
      <c r="T75" s="2"/>
    </row>
    <row r="76" spans="1:20" s="79" customFormat="1" ht="15" customHeight="1" thickBot="1" x14ac:dyDescent="0.3">
      <c r="A76" s="234"/>
      <c r="B76" s="235"/>
      <c r="C76" s="236"/>
      <c r="D76" s="107"/>
      <c r="E76" s="107"/>
      <c r="F76" s="107"/>
      <c r="G76" s="88"/>
      <c r="H76" s="88"/>
      <c r="I76" s="88"/>
      <c r="J76" s="88" t="s">
        <v>67</v>
      </c>
      <c r="K76" s="92">
        <f>SUMIF($J$66:$J$72,J76,$K$66:$K$72)</f>
        <v>0</v>
      </c>
      <c r="L76" s="92">
        <f>SUMIF($J$66:$J$72,J76,$L$66:$L$72)</f>
        <v>0</v>
      </c>
      <c r="M76" s="92"/>
      <c r="N76" s="92">
        <f>SUMIF($J$66:$J$72,J76,$N$66:$N$72)</f>
        <v>0</v>
      </c>
      <c r="O76" s="92">
        <f>SUMIF($J$66:$J$72,J76,$O$66:$O$72)</f>
        <v>0</v>
      </c>
      <c r="P76" s="92">
        <f>SUMIF($J$66:$J$72,J76,$P$66:$P$72)</f>
        <v>0</v>
      </c>
      <c r="Q76" s="93"/>
      <c r="R76" s="94"/>
      <c r="S76" s="51"/>
      <c r="T76" s="2"/>
    </row>
    <row r="77" spans="1:20" s="17" customFormat="1" ht="77.25" customHeight="1" outlineLevel="1" x14ac:dyDescent="0.25">
      <c r="A77" s="32">
        <v>40</v>
      </c>
      <c r="B77" s="49" t="s">
        <v>146</v>
      </c>
      <c r="C77" s="25" t="s">
        <v>147</v>
      </c>
      <c r="D77" s="18" t="s">
        <v>87</v>
      </c>
      <c r="E77" s="18"/>
      <c r="F77" s="18" t="s">
        <v>316</v>
      </c>
      <c r="G77" s="19" t="s">
        <v>552</v>
      </c>
      <c r="H77" s="18"/>
      <c r="I77" s="25" t="s">
        <v>148</v>
      </c>
      <c r="J77" s="27" t="s">
        <v>47</v>
      </c>
      <c r="K77" s="28">
        <v>361332</v>
      </c>
      <c r="L77" s="28">
        <v>361332</v>
      </c>
      <c r="M77" s="35">
        <v>7.7700000000000005E-2</v>
      </c>
      <c r="N77" s="28">
        <f>219031+1000000/388.24</f>
        <v>221606.72635483206</v>
      </c>
      <c r="O77" s="28">
        <f>187530</f>
        <v>187530</v>
      </c>
      <c r="P77" s="56">
        <f>L77-N77</f>
        <v>139725.27364516794</v>
      </c>
      <c r="Q77" s="30" t="s">
        <v>149</v>
      </c>
      <c r="R77" s="24" t="s">
        <v>426</v>
      </c>
      <c r="S77" s="109"/>
      <c r="T77" s="2"/>
    </row>
    <row r="78" spans="1:20" ht="136.5" customHeight="1" outlineLevel="1" x14ac:dyDescent="0.25">
      <c r="A78" s="32">
        <v>41</v>
      </c>
      <c r="B78" s="49" t="s">
        <v>150</v>
      </c>
      <c r="C78" s="25" t="s">
        <v>151</v>
      </c>
      <c r="D78" s="98" t="s">
        <v>110</v>
      </c>
      <c r="E78" s="98" t="s">
        <v>553</v>
      </c>
      <c r="F78" s="98"/>
      <c r="G78" s="98" t="s">
        <v>423</v>
      </c>
      <c r="H78" s="37" t="s">
        <v>317</v>
      </c>
      <c r="I78" s="28" t="s">
        <v>152</v>
      </c>
      <c r="J78" s="27" t="s">
        <v>25</v>
      </c>
      <c r="K78" s="28">
        <v>8000000</v>
      </c>
      <c r="L78" s="28">
        <v>80000</v>
      </c>
      <c r="M78" s="35" t="s">
        <v>40</v>
      </c>
      <c r="N78" s="28">
        <f>10909.09+3636.36+3636.36+1428217/392.76+1554016/427.35+3636.4+3632.85+3636.4+3636.4</f>
        <v>39996.621703756209</v>
      </c>
      <c r="O78" s="28">
        <f>105386.95+361.72+42360.02+4761284/392.76+5116448/427.35+12019.8+11989.6+11973.65+11692.5+220.61</f>
        <v>220099.97988818213</v>
      </c>
      <c r="P78" s="56">
        <f>L78-N78</f>
        <v>40003.378296243791</v>
      </c>
      <c r="Q78" s="30" t="s">
        <v>153</v>
      </c>
      <c r="R78" s="31" t="s">
        <v>424</v>
      </c>
      <c r="T78" s="2"/>
    </row>
    <row r="79" spans="1:20" ht="108.75" customHeight="1" outlineLevel="1" x14ac:dyDescent="0.25">
      <c r="A79" s="32">
        <v>42</v>
      </c>
      <c r="B79" s="49" t="s">
        <v>150</v>
      </c>
      <c r="C79" s="25" t="s">
        <v>154</v>
      </c>
      <c r="D79" s="98" t="s">
        <v>118</v>
      </c>
      <c r="E79" s="98" t="s">
        <v>554</v>
      </c>
      <c r="F79" s="98"/>
      <c r="G79" s="98" t="s">
        <v>423</v>
      </c>
      <c r="H79" s="37" t="s">
        <v>318</v>
      </c>
      <c r="I79" s="28" t="s">
        <v>152</v>
      </c>
      <c r="J79" s="27" t="s">
        <v>25</v>
      </c>
      <c r="K79" s="28">
        <v>8000000</v>
      </c>
      <c r="L79" s="28"/>
      <c r="M79" s="35" t="s">
        <v>40</v>
      </c>
      <c r="N79" s="28"/>
      <c r="O79" s="28"/>
      <c r="P79" s="56">
        <f>L79-N79</f>
        <v>0</v>
      </c>
      <c r="Q79" s="30" t="s">
        <v>153</v>
      </c>
      <c r="R79" s="31" t="s">
        <v>424</v>
      </c>
      <c r="T79" s="2"/>
    </row>
    <row r="80" spans="1:20" ht="79.5" customHeight="1" outlineLevel="1" x14ac:dyDescent="0.25">
      <c r="A80" s="245">
        <v>43</v>
      </c>
      <c r="B80" s="247" t="s">
        <v>155</v>
      </c>
      <c r="C80" s="242" t="s">
        <v>252</v>
      </c>
      <c r="D80" s="98" t="s">
        <v>110</v>
      </c>
      <c r="E80" s="98" t="s">
        <v>555</v>
      </c>
      <c r="F80" s="98"/>
      <c r="G80" s="98" t="s">
        <v>423</v>
      </c>
      <c r="H80" s="250" t="s">
        <v>319</v>
      </c>
      <c r="I80" s="242" t="s">
        <v>266</v>
      </c>
      <c r="J80" s="27" t="s">
        <v>25</v>
      </c>
      <c r="K80" s="28">
        <v>5500000</v>
      </c>
      <c r="L80" s="28">
        <f>1384955.78+492272.39+301757.1+219245.55+25340.75+40551.45+228066.75+500000</f>
        <v>3192189.77</v>
      </c>
      <c r="M80" s="35" t="s">
        <v>40</v>
      </c>
      <c r="N80" s="28"/>
      <c r="O80" s="28"/>
      <c r="P80" s="56">
        <f t="shared" ref="P80:P105" si="4">L80-N80</f>
        <v>3192189.77</v>
      </c>
      <c r="Q80" s="30" t="s">
        <v>71</v>
      </c>
      <c r="R80" s="31" t="s">
        <v>426</v>
      </c>
      <c r="T80" s="2"/>
    </row>
    <row r="81" spans="1:20" ht="99" customHeight="1" outlineLevel="1" x14ac:dyDescent="0.25">
      <c r="A81" s="246"/>
      <c r="B81" s="248"/>
      <c r="C81" s="243"/>
      <c r="D81" s="98" t="s">
        <v>408</v>
      </c>
      <c r="E81" s="98" t="s">
        <v>555</v>
      </c>
      <c r="F81" s="98"/>
      <c r="G81" s="98" t="s">
        <v>425</v>
      </c>
      <c r="H81" s="251"/>
      <c r="I81" s="243"/>
      <c r="J81" s="26" t="s">
        <v>2</v>
      </c>
      <c r="K81" s="28">
        <f>92733053.2+20276600+1679251+16492341.9+20399976.4+42969092+26833268.5</f>
        <v>221383583</v>
      </c>
      <c r="L81" s="28">
        <f>92733053.2+20276600+1679251+16492341.9+20399976.4+42969092+26833268.5</f>
        <v>221383583</v>
      </c>
      <c r="M81" s="35"/>
      <c r="N81" s="28"/>
      <c r="O81" s="28"/>
      <c r="P81" s="56">
        <f t="shared" si="4"/>
        <v>221383583</v>
      </c>
      <c r="Q81" s="30"/>
      <c r="R81" s="31" t="s">
        <v>426</v>
      </c>
      <c r="T81" s="2"/>
    </row>
    <row r="82" spans="1:20" ht="80.25" customHeight="1" outlineLevel="1" x14ac:dyDescent="0.25">
      <c r="A82" s="32">
        <v>44</v>
      </c>
      <c r="B82" s="49" t="s">
        <v>156</v>
      </c>
      <c r="C82" s="25" t="s">
        <v>157</v>
      </c>
      <c r="D82" s="25" t="s">
        <v>408</v>
      </c>
      <c r="E82" s="25" t="s">
        <v>556</v>
      </c>
      <c r="F82" s="37" t="s">
        <v>320</v>
      </c>
      <c r="G82" s="26" t="s">
        <v>399</v>
      </c>
      <c r="H82" s="37"/>
      <c r="I82" s="28" t="s">
        <v>158</v>
      </c>
      <c r="J82" s="26" t="s">
        <v>2</v>
      </c>
      <c r="K82" s="28">
        <v>249300000</v>
      </c>
      <c r="L82" s="28">
        <v>249300000</v>
      </c>
      <c r="M82" s="50">
        <v>1E-3</v>
      </c>
      <c r="N82" s="28">
        <f>42881892.9</f>
        <v>42881892.899999999</v>
      </c>
      <c r="O82" s="28">
        <f>528153.5</f>
        <v>528153.5</v>
      </c>
      <c r="P82" s="56">
        <f t="shared" si="4"/>
        <v>206418107.09999999</v>
      </c>
      <c r="Q82" s="30" t="s">
        <v>71</v>
      </c>
      <c r="R82" s="31" t="s">
        <v>424</v>
      </c>
      <c r="T82" s="2"/>
    </row>
    <row r="83" spans="1:20" ht="148.5" outlineLevel="1" x14ac:dyDescent="0.25">
      <c r="A83" s="32">
        <v>45</v>
      </c>
      <c r="B83" s="45" t="s">
        <v>100</v>
      </c>
      <c r="C83" s="38" t="s">
        <v>101</v>
      </c>
      <c r="D83" s="98" t="s">
        <v>110</v>
      </c>
      <c r="E83" s="98" t="s">
        <v>462</v>
      </c>
      <c r="F83" s="98" t="s">
        <v>557</v>
      </c>
      <c r="G83" s="98" t="s">
        <v>423</v>
      </c>
      <c r="H83" s="100" t="s">
        <v>558</v>
      </c>
      <c r="I83" s="101" t="s">
        <v>102</v>
      </c>
      <c r="J83" s="27" t="s">
        <v>47</v>
      </c>
      <c r="K83" s="28">
        <v>4000000</v>
      </c>
      <c r="L83" s="28">
        <v>1325350.5999999999</v>
      </c>
      <c r="M83" s="35" t="s">
        <v>40</v>
      </c>
      <c r="N83" s="28">
        <f>465353.9+34986668/397.71+41212635/391.46+40758842/387.15+219500300/390.94</f>
        <v>1325350.7000158217</v>
      </c>
      <c r="O83" s="28">
        <f>188098.2+7483550/397.71+8032446/391.46+5274803/387.15+8236793/390.94</f>
        <v>262127.90085095167</v>
      </c>
      <c r="P83" s="73">
        <f>L83-N83</f>
        <v>-0.10001582186669111</v>
      </c>
      <c r="Q83" s="38" t="s">
        <v>103</v>
      </c>
      <c r="R83" s="67" t="s">
        <v>485</v>
      </c>
      <c r="T83" s="2"/>
    </row>
    <row r="84" spans="1:20" ht="52.5" customHeight="1" outlineLevel="1" x14ac:dyDescent="0.25">
      <c r="A84" s="32"/>
      <c r="B84" s="45" t="s">
        <v>559</v>
      </c>
      <c r="C84" s="38" t="s">
        <v>560</v>
      </c>
      <c r="D84" s="98" t="s">
        <v>408</v>
      </c>
      <c r="E84" s="98" t="s">
        <v>561</v>
      </c>
      <c r="F84" s="98" t="s">
        <v>562</v>
      </c>
      <c r="G84" s="98" t="s">
        <v>399</v>
      </c>
      <c r="H84" s="100"/>
      <c r="I84" s="101" t="s">
        <v>563</v>
      </c>
      <c r="J84" s="27" t="s">
        <v>2</v>
      </c>
      <c r="K84" s="28">
        <v>866493700</v>
      </c>
      <c r="L84" s="28">
        <v>866493700</v>
      </c>
      <c r="M84" s="35">
        <v>7.6600000000000001E-2</v>
      </c>
      <c r="N84" s="28"/>
      <c r="O84" s="28"/>
      <c r="P84" s="73">
        <f>L84-N84</f>
        <v>866493700</v>
      </c>
      <c r="Q84" s="66" t="s">
        <v>71</v>
      </c>
      <c r="R84" s="67" t="s">
        <v>424</v>
      </c>
      <c r="T84" s="2"/>
    </row>
    <row r="85" spans="1:20" s="115" customFormat="1" ht="40.5" outlineLevel="1" x14ac:dyDescent="0.25">
      <c r="A85" s="32">
        <v>46</v>
      </c>
      <c r="B85" s="49" t="s">
        <v>159</v>
      </c>
      <c r="C85" s="25" t="s">
        <v>125</v>
      </c>
      <c r="D85" s="26" t="s">
        <v>411</v>
      </c>
      <c r="E85" s="26" t="s">
        <v>564</v>
      </c>
      <c r="F85" s="26" t="s">
        <v>321</v>
      </c>
      <c r="G85" s="26" t="s">
        <v>399</v>
      </c>
      <c r="H85" s="26"/>
      <c r="I85" s="26" t="s">
        <v>275</v>
      </c>
      <c r="J85" s="26" t="s">
        <v>2</v>
      </c>
      <c r="K85" s="112">
        <v>50600000</v>
      </c>
      <c r="L85" s="28">
        <v>50600000</v>
      </c>
      <c r="M85" s="49" t="s">
        <v>160</v>
      </c>
      <c r="N85" s="28"/>
      <c r="O85" s="28"/>
      <c r="P85" s="112">
        <f t="shared" si="4"/>
        <v>50600000</v>
      </c>
      <c r="Q85" s="30" t="s">
        <v>71</v>
      </c>
      <c r="R85" s="31" t="s">
        <v>426</v>
      </c>
      <c r="S85" s="114"/>
      <c r="T85" s="2"/>
    </row>
    <row r="86" spans="1:20" s="115" customFormat="1" ht="40.5" customHeight="1" outlineLevel="1" x14ac:dyDescent="0.25">
      <c r="A86" s="32">
        <v>47</v>
      </c>
      <c r="B86" s="49" t="s">
        <v>159</v>
      </c>
      <c r="C86" s="25" t="s">
        <v>125</v>
      </c>
      <c r="D86" s="26" t="s">
        <v>411</v>
      </c>
      <c r="E86" s="26" t="s">
        <v>565</v>
      </c>
      <c r="F86" s="26" t="s">
        <v>322</v>
      </c>
      <c r="G86" s="26" t="s">
        <v>399</v>
      </c>
      <c r="H86" s="26"/>
      <c r="I86" s="26" t="s">
        <v>276</v>
      </c>
      <c r="J86" s="25" t="s">
        <v>2</v>
      </c>
      <c r="K86" s="112">
        <v>1100000000</v>
      </c>
      <c r="L86" s="28">
        <v>1100000000</v>
      </c>
      <c r="M86" s="49" t="s">
        <v>160</v>
      </c>
      <c r="N86" s="28"/>
      <c r="O86" s="28"/>
      <c r="P86" s="112">
        <f t="shared" si="4"/>
        <v>1100000000</v>
      </c>
      <c r="Q86" s="247" t="s">
        <v>255</v>
      </c>
      <c r="R86" s="31" t="s">
        <v>426</v>
      </c>
      <c r="S86" s="114"/>
      <c r="T86" s="2"/>
    </row>
    <row r="87" spans="1:20" s="115" customFormat="1" ht="40.5" outlineLevel="1" x14ac:dyDescent="0.25">
      <c r="A87" s="32">
        <v>48</v>
      </c>
      <c r="B87" s="49" t="s">
        <v>159</v>
      </c>
      <c r="C87" s="25" t="s">
        <v>125</v>
      </c>
      <c r="D87" s="26" t="s">
        <v>411</v>
      </c>
      <c r="E87" s="26" t="s">
        <v>566</v>
      </c>
      <c r="F87" s="26" t="s">
        <v>323</v>
      </c>
      <c r="G87" s="26" t="s">
        <v>399</v>
      </c>
      <c r="H87" s="26"/>
      <c r="I87" s="26" t="s">
        <v>277</v>
      </c>
      <c r="J87" s="25" t="s">
        <v>2</v>
      </c>
      <c r="K87" s="112">
        <v>792386600</v>
      </c>
      <c r="L87" s="28">
        <v>791031693</v>
      </c>
      <c r="M87" s="49" t="s">
        <v>160</v>
      </c>
      <c r="N87" s="28"/>
      <c r="O87" s="28"/>
      <c r="P87" s="112">
        <f t="shared" si="4"/>
        <v>791031693</v>
      </c>
      <c r="Q87" s="249"/>
      <c r="R87" s="31" t="s">
        <v>426</v>
      </c>
      <c r="S87" s="114"/>
      <c r="T87" s="2"/>
    </row>
    <row r="88" spans="1:20" s="115" customFormat="1" ht="40.5" outlineLevel="1" x14ac:dyDescent="0.25">
      <c r="A88" s="32">
        <v>49</v>
      </c>
      <c r="B88" s="49" t="s">
        <v>159</v>
      </c>
      <c r="C88" s="25" t="s">
        <v>125</v>
      </c>
      <c r="D88" s="26" t="s">
        <v>411</v>
      </c>
      <c r="E88" s="26" t="s">
        <v>567</v>
      </c>
      <c r="F88" s="26" t="s">
        <v>324</v>
      </c>
      <c r="G88" s="26" t="s">
        <v>399</v>
      </c>
      <c r="H88" s="26"/>
      <c r="I88" s="26" t="s">
        <v>278</v>
      </c>
      <c r="J88" s="25" t="s">
        <v>2</v>
      </c>
      <c r="K88" s="112">
        <v>254672300</v>
      </c>
      <c r="L88" s="28">
        <f>168444408+75498000+5196300+5196300</f>
        <v>254335008</v>
      </c>
      <c r="M88" s="49" t="s">
        <v>160</v>
      </c>
      <c r="N88" s="28"/>
      <c r="O88" s="28"/>
      <c r="P88" s="112">
        <f t="shared" si="4"/>
        <v>254335008</v>
      </c>
      <c r="Q88" s="248"/>
      <c r="R88" s="31" t="s">
        <v>426</v>
      </c>
      <c r="S88" s="114"/>
      <c r="T88" s="2"/>
    </row>
    <row r="89" spans="1:20" s="115" customFormat="1" ht="40.5" outlineLevel="1" x14ac:dyDescent="0.25">
      <c r="A89" s="32">
        <v>50</v>
      </c>
      <c r="B89" s="49" t="s">
        <v>161</v>
      </c>
      <c r="C89" s="25" t="s">
        <v>125</v>
      </c>
      <c r="D89" s="26" t="s">
        <v>408</v>
      </c>
      <c r="E89" s="26" t="s">
        <v>568</v>
      </c>
      <c r="F89" s="26" t="s">
        <v>325</v>
      </c>
      <c r="G89" s="26" t="s">
        <v>399</v>
      </c>
      <c r="H89" s="26"/>
      <c r="I89" s="26" t="s">
        <v>162</v>
      </c>
      <c r="J89" s="25" t="s">
        <v>2</v>
      </c>
      <c r="K89" s="112">
        <v>88731015</v>
      </c>
      <c r="L89" s="28">
        <v>88731000</v>
      </c>
      <c r="M89" s="130">
        <v>8.5000000000000006E-2</v>
      </c>
      <c r="N89" s="28">
        <f>88731000</f>
        <v>88731000</v>
      </c>
      <c r="O89" s="28">
        <f>1591081+30000000</f>
        <v>31591081</v>
      </c>
      <c r="P89" s="112">
        <f t="shared" si="4"/>
        <v>0</v>
      </c>
      <c r="Q89" s="110" t="s">
        <v>163</v>
      </c>
      <c r="R89" s="111" t="s">
        <v>426</v>
      </c>
      <c r="S89" s="114"/>
      <c r="T89" s="2"/>
    </row>
    <row r="90" spans="1:20" ht="81" outlineLevel="1" x14ac:dyDescent="0.25">
      <c r="A90" s="32">
        <v>51</v>
      </c>
      <c r="B90" s="45" t="s">
        <v>165</v>
      </c>
      <c r="C90" s="38" t="s">
        <v>164</v>
      </c>
      <c r="D90" s="38" t="s">
        <v>135</v>
      </c>
      <c r="E90" s="25" t="s">
        <v>326</v>
      </c>
      <c r="F90" s="25" t="s">
        <v>569</v>
      </c>
      <c r="G90" s="98" t="s">
        <v>550</v>
      </c>
      <c r="H90" s="25"/>
      <c r="I90" s="25" t="s">
        <v>166</v>
      </c>
      <c r="J90" s="25" t="s">
        <v>47</v>
      </c>
      <c r="K90" s="57">
        <v>8944984.0899999999</v>
      </c>
      <c r="L90" s="28">
        <v>8944984.0899999999</v>
      </c>
      <c r="M90" s="131">
        <v>7.4999999999999997E-3</v>
      </c>
      <c r="N90" s="28">
        <f>2425758.4+151609.9+151609.9+151609.9+151609.9+151609.9</f>
        <v>3183807.8999999994</v>
      </c>
      <c r="O90" s="28">
        <f>881276.03+25084.35+24380.12+23943.98+23373.89+22803.79+22112.2</f>
        <v>1022974.36</v>
      </c>
      <c r="P90" s="56">
        <f t="shared" si="4"/>
        <v>5761176.1900000004</v>
      </c>
      <c r="Q90" s="66" t="s">
        <v>71</v>
      </c>
      <c r="R90" s="67" t="s">
        <v>424</v>
      </c>
      <c r="T90" s="2"/>
    </row>
    <row r="91" spans="1:20" ht="55.5" customHeight="1" outlineLevel="1" x14ac:dyDescent="0.25">
      <c r="A91" s="245">
        <v>52</v>
      </c>
      <c r="B91" s="247" t="s">
        <v>167</v>
      </c>
      <c r="C91" s="242" t="s">
        <v>164</v>
      </c>
      <c r="D91" s="242" t="s">
        <v>135</v>
      </c>
      <c r="E91" s="242" t="s">
        <v>327</v>
      </c>
      <c r="F91" s="242" t="s">
        <v>327</v>
      </c>
      <c r="G91" s="98" t="s">
        <v>550</v>
      </c>
      <c r="H91" s="242"/>
      <c r="I91" s="25" t="s">
        <v>168</v>
      </c>
      <c r="J91" s="25" t="s">
        <v>47</v>
      </c>
      <c r="K91" s="57">
        <v>5217725</v>
      </c>
      <c r="L91" s="28">
        <v>5217725</v>
      </c>
      <c r="M91" s="131">
        <v>7.4999999999999997E-3</v>
      </c>
      <c r="N91" s="28">
        <f>782658.5+52177.25+52177.25+52177.25+52177.25+52177.25</f>
        <v>1043544.75</v>
      </c>
      <c r="O91" s="28">
        <f>538816.19+16480.36+16284.66+16088.46+15805.42</f>
        <v>603475.09</v>
      </c>
      <c r="P91" s="56">
        <f t="shared" si="4"/>
        <v>4174180.25</v>
      </c>
      <c r="Q91" s="242" t="s">
        <v>71</v>
      </c>
      <c r="R91" s="31" t="s">
        <v>424</v>
      </c>
      <c r="T91" s="2"/>
    </row>
    <row r="92" spans="1:20" ht="55.5" customHeight="1" outlineLevel="1" x14ac:dyDescent="0.25">
      <c r="A92" s="246"/>
      <c r="B92" s="248"/>
      <c r="C92" s="243"/>
      <c r="D92" s="243"/>
      <c r="E92" s="243"/>
      <c r="F92" s="243"/>
      <c r="G92" s="98" t="s">
        <v>550</v>
      </c>
      <c r="H92" s="243"/>
      <c r="I92" s="25" t="s">
        <v>168</v>
      </c>
      <c r="J92" s="25" t="s">
        <v>2</v>
      </c>
      <c r="K92" s="57">
        <v>93025000</v>
      </c>
      <c r="L92" s="28">
        <v>93025000</v>
      </c>
      <c r="M92" s="131">
        <v>7.4999999999999997E-3</v>
      </c>
      <c r="N92" s="28">
        <f>13953750+930250+930250+930250+930250+930250</f>
        <v>18605000</v>
      </c>
      <c r="O92" s="28">
        <f>9237334.28+296030+287830+287830+281789.29</f>
        <v>10390813.569999998</v>
      </c>
      <c r="P92" s="56">
        <f t="shared" si="4"/>
        <v>74420000</v>
      </c>
      <c r="Q92" s="243"/>
      <c r="R92" s="132" t="s">
        <v>424</v>
      </c>
      <c r="T92" s="2"/>
    </row>
    <row r="93" spans="1:20" ht="81" outlineLevel="1" x14ac:dyDescent="0.25">
      <c r="A93" s="32">
        <v>53</v>
      </c>
      <c r="B93" s="45" t="s">
        <v>169</v>
      </c>
      <c r="C93" s="38" t="s">
        <v>164</v>
      </c>
      <c r="D93" s="38" t="s">
        <v>135</v>
      </c>
      <c r="E93" s="25" t="s">
        <v>328</v>
      </c>
      <c r="F93" s="25" t="s">
        <v>328</v>
      </c>
      <c r="G93" s="98" t="s">
        <v>550</v>
      </c>
      <c r="H93" s="25"/>
      <c r="I93" s="25" t="s">
        <v>170</v>
      </c>
      <c r="J93" s="25" t="s">
        <v>47</v>
      </c>
      <c r="K93" s="57">
        <v>1989000</v>
      </c>
      <c r="L93" s="28">
        <v>1989000</v>
      </c>
      <c r="M93" s="131">
        <v>7.4999999999999997E-3</v>
      </c>
      <c r="N93" s="28">
        <f>337118.7+33711.86+33711.86+33711.86+33712+33712</f>
        <v>505678.27999999997</v>
      </c>
      <c r="O93" s="28">
        <f>177150.18+6084.76+5957.99+5831.23+5673.29</f>
        <v>200697.45</v>
      </c>
      <c r="P93" s="56">
        <f t="shared" si="4"/>
        <v>1483321.72</v>
      </c>
      <c r="Q93" s="66" t="s">
        <v>71</v>
      </c>
      <c r="R93" s="67" t="s">
        <v>424</v>
      </c>
      <c r="T93" s="2"/>
    </row>
    <row r="94" spans="1:20" ht="100.5" customHeight="1" outlineLevel="1" x14ac:dyDescent="0.25">
      <c r="A94" s="32">
        <v>54</v>
      </c>
      <c r="B94" s="45" t="s">
        <v>279</v>
      </c>
      <c r="C94" s="38" t="s">
        <v>280</v>
      </c>
      <c r="D94" s="38" t="s">
        <v>135</v>
      </c>
      <c r="E94" s="38" t="s">
        <v>329</v>
      </c>
      <c r="F94" s="38" t="s">
        <v>329</v>
      </c>
      <c r="G94" s="98" t="s">
        <v>550</v>
      </c>
      <c r="H94" s="38"/>
      <c r="I94" s="38" t="s">
        <v>281</v>
      </c>
      <c r="J94" s="25" t="s">
        <v>2</v>
      </c>
      <c r="K94" s="57">
        <v>2047212646</v>
      </c>
      <c r="L94" s="101">
        <v>2047212646</v>
      </c>
      <c r="M94" s="131">
        <v>0.02</v>
      </c>
      <c r="N94" s="28">
        <v>51180316.200000003</v>
      </c>
      <c r="O94" s="28">
        <f>88017538.4+20640391+20640391+20303862+20640391</f>
        <v>170242573.40000001</v>
      </c>
      <c r="P94" s="56">
        <f t="shared" si="4"/>
        <v>1996032329.8</v>
      </c>
      <c r="Q94" s="66" t="s">
        <v>71</v>
      </c>
      <c r="R94" s="67" t="s">
        <v>424</v>
      </c>
      <c r="T94" s="2"/>
    </row>
    <row r="95" spans="1:20" ht="144" customHeight="1" outlineLevel="1" x14ac:dyDescent="0.25">
      <c r="A95" s="61">
        <v>55</v>
      </c>
      <c r="B95" s="45" t="s">
        <v>171</v>
      </c>
      <c r="C95" s="38" t="s">
        <v>172</v>
      </c>
      <c r="D95" s="38" t="s">
        <v>87</v>
      </c>
      <c r="E95" s="38"/>
      <c r="F95" s="38" t="s">
        <v>420</v>
      </c>
      <c r="G95" s="38" t="s">
        <v>399</v>
      </c>
      <c r="H95" s="38"/>
      <c r="I95" s="38" t="s">
        <v>173</v>
      </c>
      <c r="J95" s="25" t="s">
        <v>47</v>
      </c>
      <c r="K95" s="57">
        <v>2217000</v>
      </c>
      <c r="L95" s="57">
        <v>2217000</v>
      </c>
      <c r="M95" s="133">
        <v>0.02</v>
      </c>
      <c r="N95" s="28">
        <f>1656550.78+18166.04+7000680/387.28+18122.86+18122.86+32122.86+28837.1+8000+8000+8000+20000+20000+20000+20000+20000+19994.32+20000+20000+8000+8000+8000+20000+20010.94+20000</f>
        <v>2058004.2937740141</v>
      </c>
      <c r="O95" s="28">
        <f>133182.536922389+1443.51+1358.52+1365.7+1287.6+1303.23+1287.23+1148.05+1256.99+1198.49+1200</f>
        <v>146031.85692238901</v>
      </c>
      <c r="P95" s="56">
        <f t="shared" si="4"/>
        <v>158995.70622598589</v>
      </c>
      <c r="Q95" s="66" t="s">
        <v>174</v>
      </c>
      <c r="R95" s="67" t="s">
        <v>424</v>
      </c>
      <c r="T95" s="2"/>
    </row>
    <row r="96" spans="1:20" ht="128.25" customHeight="1" outlineLevel="1" x14ac:dyDescent="0.25">
      <c r="A96" s="32">
        <v>56</v>
      </c>
      <c r="B96" s="49" t="s">
        <v>269</v>
      </c>
      <c r="C96" s="25" t="s">
        <v>270</v>
      </c>
      <c r="D96" s="25" t="s">
        <v>110</v>
      </c>
      <c r="E96" s="25" t="s">
        <v>462</v>
      </c>
      <c r="F96" s="25" t="s">
        <v>570</v>
      </c>
      <c r="G96" s="26" t="s">
        <v>423</v>
      </c>
      <c r="H96" s="25" t="s">
        <v>571</v>
      </c>
      <c r="I96" s="38" t="s">
        <v>271</v>
      </c>
      <c r="J96" s="25" t="s">
        <v>25</v>
      </c>
      <c r="K96" s="57">
        <f>4199559.68+12720691.2+1113060.48+1966688.64</f>
        <v>20000000</v>
      </c>
      <c r="L96" s="57">
        <f>K96</f>
        <v>20000000</v>
      </c>
      <c r="M96" s="133" t="s">
        <v>272</v>
      </c>
      <c r="N96" s="28"/>
      <c r="O96" s="134">
        <f>77849.88+103888.1+413918.01+520635+494848.41+410713.32</f>
        <v>2021852.72</v>
      </c>
      <c r="P96" s="56">
        <f t="shared" si="4"/>
        <v>20000000</v>
      </c>
      <c r="Q96" s="66" t="s">
        <v>273</v>
      </c>
      <c r="R96" s="31" t="s">
        <v>424</v>
      </c>
      <c r="T96" s="2"/>
    </row>
    <row r="97" spans="1:20" s="17" customFormat="1" ht="75" customHeight="1" outlineLevel="1" x14ac:dyDescent="0.25">
      <c r="A97" s="61"/>
      <c r="B97" s="45" t="s">
        <v>480</v>
      </c>
      <c r="C97" s="38" t="s">
        <v>572</v>
      </c>
      <c r="D97" s="25" t="s">
        <v>408</v>
      </c>
      <c r="E97" s="25" t="s">
        <v>573</v>
      </c>
      <c r="F97" s="25" t="s">
        <v>484</v>
      </c>
      <c r="G97" s="26" t="s">
        <v>399</v>
      </c>
      <c r="H97" s="25"/>
      <c r="I97" s="25" t="s">
        <v>486</v>
      </c>
      <c r="J97" s="25" t="s">
        <v>2</v>
      </c>
      <c r="K97" s="28">
        <v>250000000</v>
      </c>
      <c r="L97" s="28">
        <v>250000000</v>
      </c>
      <c r="M97" s="63" t="s">
        <v>574</v>
      </c>
      <c r="N97" s="101"/>
      <c r="O97" s="101"/>
      <c r="P97" s="73"/>
      <c r="Q97" s="66"/>
      <c r="R97" s="31" t="s">
        <v>426</v>
      </c>
      <c r="S97" s="109"/>
      <c r="T97" s="2"/>
    </row>
    <row r="98" spans="1:20" s="115" customFormat="1" ht="38.25" customHeight="1" outlineLevel="1" x14ac:dyDescent="0.25">
      <c r="A98" s="245">
        <v>57</v>
      </c>
      <c r="B98" s="247" t="s">
        <v>175</v>
      </c>
      <c r="C98" s="242" t="s">
        <v>176</v>
      </c>
      <c r="D98" s="242"/>
      <c r="E98" s="240" t="s">
        <v>330</v>
      </c>
      <c r="F98" s="240" t="s">
        <v>330</v>
      </c>
      <c r="G98" s="26" t="s">
        <v>575</v>
      </c>
      <c r="H98" s="240"/>
      <c r="I98" s="240" t="s">
        <v>177</v>
      </c>
      <c r="J98" s="27" t="s">
        <v>47</v>
      </c>
      <c r="K98" s="112">
        <v>237758.39</v>
      </c>
      <c r="L98" s="28">
        <v>237758.39</v>
      </c>
      <c r="M98" s="50"/>
      <c r="N98" s="28"/>
      <c r="O98" s="28"/>
      <c r="P98" s="112">
        <f t="shared" si="4"/>
        <v>237758.39</v>
      </c>
      <c r="Q98" s="242" t="s">
        <v>71</v>
      </c>
      <c r="R98" s="31" t="s">
        <v>424</v>
      </c>
      <c r="S98" s="114"/>
      <c r="T98" s="2"/>
    </row>
    <row r="99" spans="1:20" s="115" customFormat="1" ht="45" customHeight="1" outlineLevel="1" x14ac:dyDescent="0.25">
      <c r="A99" s="246"/>
      <c r="B99" s="248"/>
      <c r="C99" s="243"/>
      <c r="D99" s="243"/>
      <c r="E99" s="241"/>
      <c r="F99" s="241"/>
      <c r="G99" s="26" t="s">
        <v>575</v>
      </c>
      <c r="H99" s="241"/>
      <c r="I99" s="241"/>
      <c r="J99" s="99" t="s">
        <v>2</v>
      </c>
      <c r="K99" s="135">
        <v>28883700</v>
      </c>
      <c r="L99" s="28">
        <v>28883700</v>
      </c>
      <c r="M99" s="63"/>
      <c r="N99" s="28"/>
      <c r="O99" s="28"/>
      <c r="P99" s="112">
        <f t="shared" si="4"/>
        <v>28883700</v>
      </c>
      <c r="Q99" s="243"/>
      <c r="R99" s="24" t="s">
        <v>424</v>
      </c>
      <c r="S99" s="114"/>
      <c r="T99" s="2"/>
    </row>
    <row r="100" spans="1:20" s="17" customFormat="1" ht="59.25" customHeight="1" outlineLevel="1" x14ac:dyDescent="0.25">
      <c r="A100" s="61">
        <v>58</v>
      </c>
      <c r="B100" s="45" t="s">
        <v>104</v>
      </c>
      <c r="C100" s="38" t="s">
        <v>105</v>
      </c>
      <c r="D100" s="25" t="s">
        <v>408</v>
      </c>
      <c r="E100" s="25"/>
      <c r="F100" s="25" t="s">
        <v>331</v>
      </c>
      <c r="G100" s="26" t="s">
        <v>575</v>
      </c>
      <c r="H100" s="25"/>
      <c r="I100" s="25" t="s">
        <v>106</v>
      </c>
      <c r="J100" s="25" t="s">
        <v>2</v>
      </c>
      <c r="K100" s="28">
        <v>303444194</v>
      </c>
      <c r="L100" s="101">
        <v>303444194</v>
      </c>
      <c r="M100" s="63"/>
      <c r="N100" s="101"/>
      <c r="O100" s="101"/>
      <c r="P100" s="73">
        <f t="shared" si="4"/>
        <v>303444194</v>
      </c>
      <c r="Q100" s="66" t="s">
        <v>71</v>
      </c>
      <c r="R100" s="31" t="s">
        <v>487</v>
      </c>
      <c r="S100" s="109"/>
      <c r="T100" s="2"/>
    </row>
    <row r="101" spans="1:20" s="2" customFormat="1" ht="54.75" customHeight="1" outlineLevel="1" x14ac:dyDescent="0.25">
      <c r="A101" s="61"/>
      <c r="B101" s="45" t="s">
        <v>454</v>
      </c>
      <c r="C101" s="38" t="s">
        <v>105</v>
      </c>
      <c r="D101" s="25" t="s">
        <v>408</v>
      </c>
      <c r="E101" s="25" t="s">
        <v>576</v>
      </c>
      <c r="F101" s="25" t="s">
        <v>455</v>
      </c>
      <c r="G101" s="26" t="s">
        <v>575</v>
      </c>
      <c r="H101" s="25"/>
      <c r="I101" s="25" t="s">
        <v>456</v>
      </c>
      <c r="J101" s="27" t="s">
        <v>2</v>
      </c>
      <c r="K101" s="28">
        <v>29938264</v>
      </c>
      <c r="L101" s="28">
        <v>29938264</v>
      </c>
      <c r="M101" s="39">
        <v>0</v>
      </c>
      <c r="N101" s="28">
        <f>9000000+1000000+1000000+800000+200000+1000000+1000000+1000000+1000000+1000000+1000000</f>
        <v>18000000</v>
      </c>
      <c r="O101" s="28"/>
      <c r="P101" s="73">
        <f t="shared" si="4"/>
        <v>11938264</v>
      </c>
      <c r="Q101" s="66" t="s">
        <v>71</v>
      </c>
      <c r="R101" s="24" t="s">
        <v>424</v>
      </c>
      <c r="S101" s="51"/>
    </row>
    <row r="102" spans="1:20" s="2" customFormat="1" ht="116.25" customHeight="1" outlineLevel="1" x14ac:dyDescent="0.25">
      <c r="A102" s="61"/>
      <c r="B102" s="45" t="s">
        <v>461</v>
      </c>
      <c r="C102" s="38" t="s">
        <v>577</v>
      </c>
      <c r="D102" s="25" t="s">
        <v>408</v>
      </c>
      <c r="E102" s="25" t="s">
        <v>578</v>
      </c>
      <c r="F102" s="25" t="s">
        <v>488</v>
      </c>
      <c r="G102" s="26" t="s">
        <v>399</v>
      </c>
      <c r="H102" s="25"/>
      <c r="I102" s="25" t="s">
        <v>489</v>
      </c>
      <c r="J102" s="27" t="s">
        <v>2</v>
      </c>
      <c r="K102" s="28">
        <v>1343651100</v>
      </c>
      <c r="L102" s="28">
        <v>1343651100</v>
      </c>
      <c r="M102" s="39">
        <v>7.2499999999999995E-2</v>
      </c>
      <c r="N102" s="28"/>
      <c r="O102" s="28"/>
      <c r="P102" s="73">
        <f t="shared" si="4"/>
        <v>1343651100</v>
      </c>
      <c r="Q102" s="66" t="s">
        <v>71</v>
      </c>
      <c r="R102" s="24" t="s">
        <v>426</v>
      </c>
      <c r="S102" s="51"/>
    </row>
    <row r="103" spans="1:20" ht="82.5" customHeight="1" x14ac:dyDescent="0.25">
      <c r="A103" s="32">
        <v>59</v>
      </c>
      <c r="B103" s="49" t="s">
        <v>398</v>
      </c>
      <c r="C103" s="25" t="s">
        <v>399</v>
      </c>
      <c r="D103" s="25" t="s">
        <v>408</v>
      </c>
      <c r="E103" s="25"/>
      <c r="F103" s="25" t="s">
        <v>400</v>
      </c>
      <c r="G103" s="25" t="s">
        <v>399</v>
      </c>
      <c r="H103" s="25"/>
      <c r="I103" s="25" t="s">
        <v>401</v>
      </c>
      <c r="J103" s="25" t="s">
        <v>2</v>
      </c>
      <c r="K103" s="28">
        <v>1600000000</v>
      </c>
      <c r="L103" s="60">
        <v>1600000000</v>
      </c>
      <c r="M103" s="130">
        <v>0.06</v>
      </c>
      <c r="N103" s="60">
        <f>16666667+16666667</f>
        <v>33333334</v>
      </c>
      <c r="O103" s="60">
        <f>14728767+7827397</f>
        <v>22556164</v>
      </c>
      <c r="P103" s="112">
        <f t="shared" si="4"/>
        <v>1566666666</v>
      </c>
      <c r="Q103" s="25" t="s">
        <v>402</v>
      </c>
      <c r="R103" s="31" t="s">
        <v>426</v>
      </c>
      <c r="T103" s="2"/>
    </row>
    <row r="104" spans="1:20" ht="155.25" customHeight="1" x14ac:dyDescent="0.25">
      <c r="A104" s="95">
        <v>60</v>
      </c>
      <c r="B104" s="96" t="s">
        <v>412</v>
      </c>
      <c r="C104" s="25" t="s">
        <v>399</v>
      </c>
      <c r="D104" s="25" t="s">
        <v>408</v>
      </c>
      <c r="E104" s="25" t="s">
        <v>579</v>
      </c>
      <c r="F104" s="18" t="s">
        <v>490</v>
      </c>
      <c r="G104" s="19" t="s">
        <v>399</v>
      </c>
      <c r="H104" s="18"/>
      <c r="I104" s="25" t="s">
        <v>413</v>
      </c>
      <c r="J104" s="25" t="s">
        <v>2</v>
      </c>
      <c r="K104" s="21">
        <v>3500000000</v>
      </c>
      <c r="L104" s="21">
        <v>3500000000</v>
      </c>
      <c r="M104" s="130">
        <v>0.08</v>
      </c>
      <c r="N104" s="136"/>
      <c r="O104" s="136"/>
      <c r="P104" s="112">
        <f t="shared" si="4"/>
        <v>3500000000</v>
      </c>
      <c r="Q104" s="23" t="s">
        <v>414</v>
      </c>
      <c r="R104" s="24" t="s">
        <v>424</v>
      </c>
      <c r="T104" s="2"/>
    </row>
    <row r="105" spans="1:20" s="17" customFormat="1" ht="47.25" customHeight="1" outlineLevel="1" x14ac:dyDescent="0.25">
      <c r="A105" s="95">
        <v>61</v>
      </c>
      <c r="B105" s="18" t="s">
        <v>415</v>
      </c>
      <c r="C105" s="18" t="s">
        <v>399</v>
      </c>
      <c r="D105" s="18" t="s">
        <v>408</v>
      </c>
      <c r="E105" s="18" t="s">
        <v>580</v>
      </c>
      <c r="F105" s="18" t="s">
        <v>581</v>
      </c>
      <c r="G105" s="19" t="s">
        <v>399</v>
      </c>
      <c r="H105" s="137"/>
      <c r="I105" s="18" t="s">
        <v>251</v>
      </c>
      <c r="J105" s="18" t="s">
        <v>2</v>
      </c>
      <c r="K105" s="21">
        <v>2000000000</v>
      </c>
      <c r="L105" s="21">
        <v>2000000000</v>
      </c>
      <c r="M105" s="97">
        <v>1E-4</v>
      </c>
      <c r="N105" s="21">
        <f>122220000+82500000+82500000+165000000</f>
        <v>452220000</v>
      </c>
      <c r="O105" s="21">
        <f>175890.410958904+56590.6+7869.7+22525</f>
        <v>262875.710958904</v>
      </c>
      <c r="P105" s="138">
        <f t="shared" si="4"/>
        <v>1547780000</v>
      </c>
      <c r="Q105" s="23" t="s">
        <v>404</v>
      </c>
      <c r="R105" s="24" t="s">
        <v>424</v>
      </c>
      <c r="S105" s="109"/>
      <c r="T105" s="2"/>
    </row>
    <row r="106" spans="1:20" s="17" customFormat="1" ht="47.25" customHeight="1" outlineLevel="1" x14ac:dyDescent="0.25">
      <c r="A106" s="95">
        <v>62</v>
      </c>
      <c r="B106" s="18" t="s">
        <v>178</v>
      </c>
      <c r="C106" s="18" t="s">
        <v>179</v>
      </c>
      <c r="D106" s="18" t="s">
        <v>416</v>
      </c>
      <c r="E106" s="18" t="s">
        <v>582</v>
      </c>
      <c r="F106" s="18" t="s">
        <v>583</v>
      </c>
      <c r="G106" s="19" t="s">
        <v>399</v>
      </c>
      <c r="H106" s="137"/>
      <c r="I106" s="18" t="s">
        <v>180</v>
      </c>
      <c r="J106" s="18" t="s">
        <v>47</v>
      </c>
      <c r="K106" s="21">
        <v>10000000</v>
      </c>
      <c r="L106" s="21">
        <v>10000000</v>
      </c>
      <c r="M106" s="97" t="s">
        <v>181</v>
      </c>
      <c r="N106" s="21">
        <f>2553676.86+827369+326463360/394.58+827369.24</f>
        <v>5035784.3533833446</v>
      </c>
      <c r="O106" s="21">
        <f>4401844.92047069+51518733/394.58+116784</f>
        <v>4649194.9222954158</v>
      </c>
      <c r="P106" s="138">
        <f>L106-N106</f>
        <v>4964215.6466166554</v>
      </c>
      <c r="Q106" s="23" t="s">
        <v>182</v>
      </c>
      <c r="R106" s="24" t="s">
        <v>424</v>
      </c>
      <c r="S106" s="109"/>
      <c r="T106" s="2"/>
    </row>
    <row r="107" spans="1:20" s="17" customFormat="1" ht="51" customHeight="1" outlineLevel="1" thickBot="1" x14ac:dyDescent="0.3">
      <c r="A107" s="32">
        <v>63</v>
      </c>
      <c r="B107" s="25" t="s">
        <v>178</v>
      </c>
      <c r="C107" s="118" t="s">
        <v>427</v>
      </c>
      <c r="D107" s="118" t="s">
        <v>416</v>
      </c>
      <c r="E107" s="118" t="s">
        <v>584</v>
      </c>
      <c r="F107" s="18" t="s">
        <v>585</v>
      </c>
      <c r="G107" s="18" t="s">
        <v>332</v>
      </c>
      <c r="H107" s="19"/>
      <c r="I107" s="118" t="s">
        <v>183</v>
      </c>
      <c r="J107" s="118" t="s">
        <v>2</v>
      </c>
      <c r="K107" s="28">
        <v>8000000000</v>
      </c>
      <c r="L107" s="28">
        <v>8000000000</v>
      </c>
      <c r="M107" s="35" t="s">
        <v>184</v>
      </c>
      <c r="N107" s="28"/>
      <c r="O107" s="28">
        <f>3496438357+79342466+80657534+79342466+79342466+1315069+216021918+419419179+129470822+248100000+35010000</f>
        <v>4864460277</v>
      </c>
      <c r="P107" s="56">
        <f>L107-N107</f>
        <v>8000000000</v>
      </c>
      <c r="Q107" s="30" t="s">
        <v>185</v>
      </c>
      <c r="R107" s="31" t="s">
        <v>424</v>
      </c>
      <c r="S107" s="109"/>
      <c r="T107" s="2"/>
    </row>
    <row r="108" spans="1:20" s="79" customFormat="1" ht="24.75" customHeight="1" x14ac:dyDescent="0.25">
      <c r="A108" s="237" t="s">
        <v>186</v>
      </c>
      <c r="B108" s="238"/>
      <c r="C108" s="239"/>
      <c r="G108" s="127"/>
      <c r="H108" s="127"/>
      <c r="I108" s="127"/>
      <c r="J108" s="127" t="s">
        <v>25</v>
      </c>
      <c r="K108" s="105">
        <f>SUMIF($J$77:$J$107,J108,$K$77:$K$107)</f>
        <v>41500000</v>
      </c>
      <c r="L108" s="105">
        <f>SUMIF($J$77:$J$107,J108,$L$77:$L$107)</f>
        <v>23272189.77</v>
      </c>
      <c r="M108" s="105"/>
      <c r="N108" s="105">
        <f>SUMIF($J$77:$J$107,J108,$N$77:$N$107)</f>
        <v>39996.621703756209</v>
      </c>
      <c r="O108" s="105">
        <f>SUMIF($J$77:$J$107,J108,$O$77:$O$107)</f>
        <v>2241952.6998881819</v>
      </c>
      <c r="P108" s="105">
        <f>SUMIF($J$77:$J$107,J108,$P$77:$P$107)</f>
        <v>23232193.148296244</v>
      </c>
      <c r="Q108" s="77"/>
      <c r="R108" s="78"/>
      <c r="S108" s="51"/>
      <c r="T108" s="2"/>
    </row>
    <row r="109" spans="1:20" s="79" customFormat="1" ht="39" customHeight="1" x14ac:dyDescent="0.25">
      <c r="A109" s="231"/>
      <c r="B109" s="232"/>
      <c r="C109" s="233"/>
      <c r="D109" s="106"/>
      <c r="E109" s="106"/>
      <c r="F109" s="106"/>
      <c r="G109" s="80"/>
      <c r="H109" s="80"/>
      <c r="I109" s="80"/>
      <c r="J109" s="80" t="s">
        <v>2</v>
      </c>
      <c r="K109" s="81">
        <f>SUMIF($J$77:$J$107,J109,$K$77:$K$107)</f>
        <v>22819722102</v>
      </c>
      <c r="L109" s="81">
        <f>SUMIF($J$77:$J$107,J109,$L$77:$L$107)</f>
        <v>22818029888</v>
      </c>
      <c r="M109" s="81"/>
      <c r="N109" s="81">
        <f>SUMIF($J$77:$J$107,J109,$N$77:$N$107)</f>
        <v>704951543.10000002</v>
      </c>
      <c r="O109" s="81">
        <f>SUMIF($J$77:$J$107,J109,$O$77:$O$107)</f>
        <v>5100031938.1809587</v>
      </c>
      <c r="P109" s="81">
        <f>SUMIF($J$77:$J$107,J109,$P$77:$P$107)</f>
        <v>21863078344.900002</v>
      </c>
      <c r="Q109" s="82"/>
      <c r="R109" s="83"/>
      <c r="S109" s="51"/>
      <c r="T109" s="2"/>
    </row>
    <row r="110" spans="1:20" s="79" customFormat="1" ht="39" customHeight="1" x14ac:dyDescent="0.25">
      <c r="A110" s="231"/>
      <c r="B110" s="232"/>
      <c r="C110" s="233"/>
      <c r="D110" s="106"/>
      <c r="E110" s="106"/>
      <c r="F110" s="106"/>
      <c r="G110" s="80"/>
      <c r="H110" s="80"/>
      <c r="I110" s="80"/>
      <c r="J110" s="80" t="s">
        <v>47</v>
      </c>
      <c r="K110" s="81">
        <f>SUMIF($J$77:$J$107,J110,$K$77:$K$107)</f>
        <v>32967799.48</v>
      </c>
      <c r="L110" s="81">
        <f>SUMIF($J$77:$J$107,J110,$L$77:$L$107)</f>
        <v>30293150.079999998</v>
      </c>
      <c r="M110" s="81"/>
      <c r="N110" s="81">
        <f>SUMIF($J$77:$J$107,J110,$N$77:$N$107)</f>
        <v>13373777.003528012</v>
      </c>
      <c r="O110" s="81">
        <f>SUMIF($J$77:$J$107,J110,$O$77:$O$107)</f>
        <v>7072031.5800687559</v>
      </c>
      <c r="P110" s="81">
        <f>SUMIF($J$77:$J$107,J110,$P$77:$P$107)</f>
        <v>16919373.076471988</v>
      </c>
      <c r="Q110" s="82"/>
      <c r="R110" s="83"/>
      <c r="S110" s="51"/>
      <c r="T110" s="2"/>
    </row>
    <row r="111" spans="1:20" s="79" customFormat="1" ht="39" customHeight="1" thickBot="1" x14ac:dyDescent="0.3">
      <c r="A111" s="234"/>
      <c r="B111" s="235"/>
      <c r="C111" s="236"/>
      <c r="D111" s="107"/>
      <c r="E111" s="107"/>
      <c r="F111" s="107"/>
      <c r="G111" s="88"/>
      <c r="H111" s="88"/>
      <c r="I111" s="88"/>
      <c r="J111" s="88" t="s">
        <v>67</v>
      </c>
      <c r="K111" s="92">
        <f>SUMIF($J$77:$J$107,J111,$K$77:$K$107)</f>
        <v>0</v>
      </c>
      <c r="L111" s="92">
        <f>SUMIF($J$77:$J$107,J111,$L$77:$L$107)</f>
        <v>0</v>
      </c>
      <c r="M111" s="92"/>
      <c r="N111" s="92">
        <f>SUMIF($J$77:$J$107,J111,$N$77:$N$107)</f>
        <v>0</v>
      </c>
      <c r="O111" s="92">
        <f>SUMIF($J$77:$J$107,J111,$O$77:$O$107)</f>
        <v>0</v>
      </c>
      <c r="P111" s="92">
        <f>SUMIF($J$77:$J$107,J111,$P$77:$P$107)</f>
        <v>0</v>
      </c>
      <c r="Q111" s="93"/>
      <c r="R111" s="94"/>
      <c r="S111" s="51"/>
      <c r="T111" s="2"/>
    </row>
    <row r="112" spans="1:20" s="115" customFormat="1" ht="156.75" customHeight="1" outlineLevel="1" x14ac:dyDescent="0.25">
      <c r="A112" s="32">
        <v>64</v>
      </c>
      <c r="B112" s="38" t="s">
        <v>0</v>
      </c>
      <c r="C112" s="38" t="s">
        <v>1</v>
      </c>
      <c r="D112" s="68" t="s">
        <v>408</v>
      </c>
      <c r="E112" s="68"/>
      <c r="F112" s="139" t="s">
        <v>333</v>
      </c>
      <c r="G112" s="139" t="s">
        <v>399</v>
      </c>
      <c r="H112" s="139"/>
      <c r="I112" s="139" t="s">
        <v>187</v>
      </c>
      <c r="J112" s="18" t="s">
        <v>2</v>
      </c>
      <c r="K112" s="135">
        <f>3047000000+3000000000</f>
        <v>6047000000</v>
      </c>
      <c r="L112" s="60">
        <v>6000000000</v>
      </c>
      <c r="M112" s="63"/>
      <c r="N112" s="60">
        <f>4439902959+260956717.5+995441267.7+73262192.2+103703140+88648827.6+23704487.9+9999937.1+167000+1814495.5+405741.8+291594+193389.5+167000</f>
        <v>5998658749.8000002</v>
      </c>
      <c r="O112" s="60"/>
      <c r="P112" s="101">
        <f t="shared" ref="P112:P117" si="5">L112-N112</f>
        <v>1341250.1999998093</v>
      </c>
      <c r="Q112" s="140" t="s">
        <v>71</v>
      </c>
      <c r="R112" s="141" t="s">
        <v>426</v>
      </c>
      <c r="S112" s="114"/>
      <c r="T112" s="2"/>
    </row>
    <row r="113" spans="1:20" s="115" customFormat="1" ht="147" customHeight="1" outlineLevel="1" x14ac:dyDescent="0.25">
      <c r="A113" s="32">
        <v>65</v>
      </c>
      <c r="B113" s="38" t="s">
        <v>0</v>
      </c>
      <c r="C113" s="242" t="s">
        <v>7</v>
      </c>
      <c r="D113" s="38" t="s">
        <v>408</v>
      </c>
      <c r="E113" s="38"/>
      <c r="F113" s="98" t="s">
        <v>417</v>
      </c>
      <c r="G113" s="98" t="s">
        <v>399</v>
      </c>
      <c r="H113" s="98"/>
      <c r="I113" s="98" t="s">
        <v>8</v>
      </c>
      <c r="J113" s="25" t="s">
        <v>2</v>
      </c>
      <c r="K113" s="28">
        <v>2000000000</v>
      </c>
      <c r="L113" s="60">
        <v>2000000000</v>
      </c>
      <c r="M113" s="50">
        <v>2.7E-2</v>
      </c>
      <c r="N113" s="60"/>
      <c r="O113" s="56">
        <f>68417269.8+13462993.2+49643.9+1421840.5+38566246.5+491534.9+1119195.4+178355+29883.2+10588.6+3022.3</f>
        <v>123750573.30000001</v>
      </c>
      <c r="P113" s="56">
        <f t="shared" si="5"/>
        <v>2000000000</v>
      </c>
      <c r="Q113" s="140" t="s">
        <v>71</v>
      </c>
      <c r="R113" s="142" t="s">
        <v>426</v>
      </c>
      <c r="S113" s="114"/>
      <c r="T113" s="2"/>
    </row>
    <row r="114" spans="1:20" s="115" customFormat="1" ht="144.75" customHeight="1" outlineLevel="1" x14ac:dyDescent="0.25">
      <c r="A114" s="32">
        <v>66</v>
      </c>
      <c r="B114" s="38" t="s">
        <v>0</v>
      </c>
      <c r="C114" s="244"/>
      <c r="D114" s="29" t="s">
        <v>408</v>
      </c>
      <c r="E114" s="29"/>
      <c r="F114" s="98" t="s">
        <v>418</v>
      </c>
      <c r="G114" s="26" t="s">
        <v>399</v>
      </c>
      <c r="H114" s="98"/>
      <c r="I114" s="98" t="s">
        <v>9</v>
      </c>
      <c r="J114" s="18" t="s">
        <v>2</v>
      </c>
      <c r="K114" s="28">
        <v>2000000000</v>
      </c>
      <c r="L114" s="60">
        <v>2000000000</v>
      </c>
      <c r="M114" s="143">
        <v>5.7000000000000002E-2</v>
      </c>
      <c r="N114" s="60"/>
      <c r="O114" s="60">
        <f>153819379.6+28421448.8+780809.1+528470.5+2614769.3+283790.1+5159868.8+1406739.9</f>
        <v>193015276.10000002</v>
      </c>
      <c r="P114" s="56">
        <f t="shared" si="5"/>
        <v>2000000000</v>
      </c>
      <c r="Q114" s="140" t="s">
        <v>71</v>
      </c>
      <c r="R114" s="142" t="s">
        <v>426</v>
      </c>
      <c r="S114" s="114"/>
      <c r="T114" s="2"/>
    </row>
    <row r="115" spans="1:20" s="115" customFormat="1" ht="168" customHeight="1" outlineLevel="1" x14ac:dyDescent="0.25">
      <c r="A115" s="32">
        <v>67</v>
      </c>
      <c r="B115" s="144" t="s">
        <v>0</v>
      </c>
      <c r="C115" s="243"/>
      <c r="D115" s="23"/>
      <c r="E115" s="23"/>
      <c r="F115" s="26" t="s">
        <v>419</v>
      </c>
      <c r="G115" s="145" t="s">
        <v>399</v>
      </c>
      <c r="H115" s="26"/>
      <c r="I115" s="26" t="s">
        <v>188</v>
      </c>
      <c r="J115" s="18" t="s">
        <v>2</v>
      </c>
      <c r="K115" s="28">
        <v>5000000000</v>
      </c>
      <c r="L115" s="60">
        <v>5000000000</v>
      </c>
      <c r="M115" s="50">
        <v>2.7E-2</v>
      </c>
      <c r="N115" s="60"/>
      <c r="O115" s="60">
        <f>34209157.5+76580313.4+83507353.3+1840160.7</f>
        <v>196136984.89999998</v>
      </c>
      <c r="P115" s="56">
        <f t="shared" si="5"/>
        <v>5000000000</v>
      </c>
      <c r="Q115" s="110" t="s">
        <v>71</v>
      </c>
      <c r="R115" s="111" t="s">
        <v>426</v>
      </c>
      <c r="S115" s="114"/>
      <c r="T115" s="2"/>
    </row>
    <row r="116" spans="1:20" s="115" customFormat="1" ht="162" outlineLevel="1" x14ac:dyDescent="0.25">
      <c r="A116" s="95">
        <v>68</v>
      </c>
      <c r="B116" s="68" t="s">
        <v>3</v>
      </c>
      <c r="C116" s="68" t="s">
        <v>5</v>
      </c>
      <c r="D116" s="68" t="s">
        <v>408</v>
      </c>
      <c r="E116" s="68"/>
      <c r="F116" s="139" t="s">
        <v>334</v>
      </c>
      <c r="G116" s="139" t="s">
        <v>399</v>
      </c>
      <c r="H116" s="139"/>
      <c r="I116" s="139" t="s">
        <v>6</v>
      </c>
      <c r="J116" s="18" t="s">
        <v>2</v>
      </c>
      <c r="K116" s="21">
        <v>562500000</v>
      </c>
      <c r="L116" s="136">
        <v>562500000</v>
      </c>
      <c r="M116" s="143"/>
      <c r="N116" s="136"/>
      <c r="O116" s="136"/>
      <c r="P116" s="65">
        <f t="shared" si="5"/>
        <v>562500000</v>
      </c>
      <c r="Q116" s="146" t="s">
        <v>71</v>
      </c>
      <c r="R116" s="141" t="s">
        <v>426</v>
      </c>
      <c r="S116" s="114"/>
      <c r="T116" s="2"/>
    </row>
    <row r="117" spans="1:20" s="115" customFormat="1" ht="95.25" outlineLevel="1" thickBot="1" x14ac:dyDescent="0.3">
      <c r="A117" s="116">
        <v>69</v>
      </c>
      <c r="B117" s="118" t="s">
        <v>3</v>
      </c>
      <c r="C117" s="118" t="s">
        <v>4</v>
      </c>
      <c r="D117" s="118" t="s">
        <v>408</v>
      </c>
      <c r="E117" s="118"/>
      <c r="F117" s="119"/>
      <c r="G117" s="119" t="s">
        <v>399</v>
      </c>
      <c r="H117" s="119"/>
      <c r="I117" s="119" t="s">
        <v>344</v>
      </c>
      <c r="J117" s="118" t="s">
        <v>2</v>
      </c>
      <c r="K117" s="122">
        <f>2000000000+7300000000</f>
        <v>9300000000</v>
      </c>
      <c r="L117" s="147">
        <f>9024295000</f>
        <v>9024295000</v>
      </c>
      <c r="M117" s="148"/>
      <c r="N117" s="147">
        <f>140537000+5009140+4849511288.30001+293553946.6+277518975.4+298090130.9+261563425.9+273040297.9+246795505.7+231942835.5+200000+276040115.2+210499563.5+221320560.6+300000+193123482.7+199186343.7+185073611.4+184150969.4+170369357.1+151027787.7+90490766.8+32284422.2+11509122.4+4064002+1861938.3+777853.6+3576579+4160398+1285963+3005301+408727.2+3440908.5+14162695+98148+291594+205919+250000+77038</f>
        <v>8840805713.5000076</v>
      </c>
      <c r="O117" s="147">
        <f>34040214.6+16030636.8+1797857.1+7375602.5+3983531.1+11814600.3+22459610.6+9668538.8+11671711.4+6908264.6+1329981.6</f>
        <v>127080549.39999999</v>
      </c>
      <c r="P117" s="123">
        <f t="shared" si="5"/>
        <v>183489286.49999237</v>
      </c>
      <c r="Q117" s="124" t="s">
        <v>71</v>
      </c>
      <c r="R117" s="125" t="s">
        <v>426</v>
      </c>
      <c r="S117" s="114"/>
      <c r="T117" s="2"/>
    </row>
    <row r="118" spans="1:20" s="79" customFormat="1" ht="30" customHeight="1" x14ac:dyDescent="0.25">
      <c r="A118" s="237" t="s">
        <v>189</v>
      </c>
      <c r="B118" s="238"/>
      <c r="C118" s="239"/>
      <c r="D118" s="126"/>
      <c r="E118" s="126"/>
      <c r="F118" s="126"/>
      <c r="G118" s="127"/>
      <c r="H118" s="127"/>
      <c r="I118" s="127"/>
      <c r="J118" s="149" t="s">
        <v>25</v>
      </c>
      <c r="K118" s="128">
        <f>SUMIF($J$112:$J$117,J118,$K$112:$K$117)</f>
        <v>0</v>
      </c>
      <c r="L118" s="128">
        <f>SUMIF($J$112:$J$117,J118,$L$112:$L$117)</f>
        <v>0</v>
      </c>
      <c r="M118" s="128"/>
      <c r="N118" s="128">
        <f>SUMIF($J$112:$J$117,J118,$N$112:$N$117)</f>
        <v>0</v>
      </c>
      <c r="O118" s="128">
        <f>SUMIF($J$112:$J$117,J118,$O$112:$O$117)</f>
        <v>0</v>
      </c>
      <c r="P118" s="128">
        <f>SUMIF($J$112:$J$117,J118,$P$112:$P$117)</f>
        <v>0</v>
      </c>
      <c r="Q118" s="129"/>
      <c r="R118" s="78"/>
      <c r="S118" s="114"/>
      <c r="T118" s="2"/>
    </row>
    <row r="119" spans="1:20" s="79" customFormat="1" ht="27" customHeight="1" x14ac:dyDescent="0.25">
      <c r="A119" s="231"/>
      <c r="B119" s="232"/>
      <c r="C119" s="233"/>
      <c r="D119" s="106"/>
      <c r="E119" s="106"/>
      <c r="F119" s="106"/>
      <c r="G119" s="80"/>
      <c r="H119" s="80"/>
      <c r="I119" s="80"/>
      <c r="J119" s="150" t="s">
        <v>2</v>
      </c>
      <c r="K119" s="128">
        <f>SUMIF($J$112:$J$117,J119,$K$112:$K$117)</f>
        <v>24909500000</v>
      </c>
      <c r="L119" s="81">
        <f>SUMIF($J$112:$J$117,J119,$L$112:$L$117)</f>
        <v>24586795000</v>
      </c>
      <c r="M119" s="81"/>
      <c r="N119" s="81">
        <f>SUMIF($J$112:$J$117,J119,$N$112:$N$117)</f>
        <v>14839464463.300007</v>
      </c>
      <c r="O119" s="81">
        <f>SUMIF($J$112:$J$117,J119,$O$112:$O$117)</f>
        <v>639983383.70000005</v>
      </c>
      <c r="P119" s="81">
        <f>SUMIF($J$112:$J$117,J119,$P$112:$P$117)</f>
        <v>9747330536.6999931</v>
      </c>
      <c r="Q119" s="82"/>
      <c r="R119" s="83"/>
      <c r="S119" s="114"/>
      <c r="T119" s="2"/>
    </row>
    <row r="120" spans="1:20" s="79" customFormat="1" ht="28.5" customHeight="1" x14ac:dyDescent="0.25">
      <c r="A120" s="231"/>
      <c r="B120" s="232"/>
      <c r="C120" s="233"/>
      <c r="D120" s="106"/>
      <c r="E120" s="106"/>
      <c r="F120" s="106"/>
      <c r="G120" s="80"/>
      <c r="H120" s="80"/>
      <c r="I120" s="80"/>
      <c r="J120" s="150" t="s">
        <v>47</v>
      </c>
      <c r="K120" s="128">
        <f>SUMIF($J$112:$J$117,J120,$K$112:$K$117)</f>
        <v>0</v>
      </c>
      <c r="L120" s="81">
        <f>SUMIF($J$112:$J$117,J120,$L$112:$L$117)</f>
        <v>0</v>
      </c>
      <c r="M120" s="81"/>
      <c r="N120" s="81">
        <f>SUMIF($J$112:$J$117,J120,$N$112:$N$117)</f>
        <v>0</v>
      </c>
      <c r="O120" s="81">
        <f>SUMIF($J$112:$J$117,J120,$O$112:$O$117)</f>
        <v>0</v>
      </c>
      <c r="P120" s="81">
        <f>SUMIF($J$112:$J$117,J120,$P$112:$P$117)</f>
        <v>0</v>
      </c>
      <c r="Q120" s="82"/>
      <c r="R120" s="83"/>
      <c r="S120" s="51"/>
      <c r="T120" s="2"/>
    </row>
    <row r="121" spans="1:20" s="79" customFormat="1" ht="30" customHeight="1" thickBot="1" x14ac:dyDescent="0.3">
      <c r="A121" s="234"/>
      <c r="B121" s="235"/>
      <c r="C121" s="236"/>
      <c r="D121" s="107"/>
      <c r="E121" s="107"/>
      <c r="F121" s="107"/>
      <c r="G121" s="88"/>
      <c r="H121" s="88"/>
      <c r="I121" s="88"/>
      <c r="J121" s="91" t="s">
        <v>67</v>
      </c>
      <c r="K121" s="92">
        <f>SUMIF($J$112:$J$117,J121,$K$112:$K$117)</f>
        <v>0</v>
      </c>
      <c r="L121" s="92">
        <f>SUMIF($J$112:$J$117,J121,$L$112:$L$117)</f>
        <v>0</v>
      </c>
      <c r="M121" s="92"/>
      <c r="N121" s="92">
        <f>SUMIF($J$112:$J$117,J121,$N$112:$N$117)</f>
        <v>0</v>
      </c>
      <c r="O121" s="92">
        <f>SUMIF($J$112:$J$117,J121,$O$112:$O$117)</f>
        <v>0</v>
      </c>
      <c r="P121" s="92">
        <f>SUMIF($J$112:$J$117,J121,$P$112:$P$117)</f>
        <v>0</v>
      </c>
      <c r="Q121" s="93"/>
      <c r="R121" s="94"/>
      <c r="S121" s="51"/>
      <c r="T121" s="2"/>
    </row>
    <row r="122" spans="1:20" s="115" customFormat="1" ht="121.5" outlineLevel="1" x14ac:dyDescent="0.25">
      <c r="A122" s="95">
        <v>70</v>
      </c>
      <c r="B122" s="151" t="s">
        <v>190</v>
      </c>
      <c r="C122" s="151" t="s">
        <v>191</v>
      </c>
      <c r="D122" s="68" t="s">
        <v>408</v>
      </c>
      <c r="E122" s="139" t="s">
        <v>335</v>
      </c>
      <c r="F122" s="68" t="s">
        <v>586</v>
      </c>
      <c r="G122" s="68" t="s">
        <v>399</v>
      </c>
      <c r="H122" s="98"/>
      <c r="I122" s="139" t="s">
        <v>192</v>
      </c>
      <c r="J122" s="25" t="s">
        <v>2</v>
      </c>
      <c r="K122" s="152">
        <v>574491741</v>
      </c>
      <c r="L122" s="152">
        <v>574491741</v>
      </c>
      <c r="M122" s="153">
        <v>1E-4</v>
      </c>
      <c r="N122" s="152">
        <f>132575017.2</f>
        <v>132575017.2</v>
      </c>
      <c r="O122" s="152">
        <f>85623+14165+39966.7</f>
        <v>139754.70000000001</v>
      </c>
      <c r="P122" s="65">
        <f t="shared" ref="P122:P134" si="6">L122-N122</f>
        <v>441916723.80000001</v>
      </c>
      <c r="Q122" s="146" t="s">
        <v>193</v>
      </c>
      <c r="R122" s="154" t="s">
        <v>426</v>
      </c>
      <c r="S122" s="114"/>
      <c r="T122" s="2"/>
    </row>
    <row r="123" spans="1:20" s="115" customFormat="1" ht="108" outlineLevel="1" x14ac:dyDescent="0.25">
      <c r="A123" s="32">
        <v>71</v>
      </c>
      <c r="B123" s="45" t="s">
        <v>194</v>
      </c>
      <c r="C123" s="45" t="s">
        <v>191</v>
      </c>
      <c r="D123" s="38" t="s">
        <v>408</v>
      </c>
      <c r="E123" s="98" t="s">
        <v>336</v>
      </c>
      <c r="F123" s="38" t="s">
        <v>587</v>
      </c>
      <c r="G123" s="38" t="s">
        <v>399</v>
      </c>
      <c r="H123" s="98"/>
      <c r="I123" s="98" t="s">
        <v>195</v>
      </c>
      <c r="J123" s="25" t="s">
        <v>2</v>
      </c>
      <c r="K123" s="135">
        <v>98612371</v>
      </c>
      <c r="L123" s="112">
        <v>98612371</v>
      </c>
      <c r="M123" s="39">
        <v>1E-4</v>
      </c>
      <c r="N123" s="112"/>
      <c r="O123" s="112">
        <v>17060</v>
      </c>
      <c r="P123" s="73">
        <f t="shared" si="6"/>
        <v>98612371</v>
      </c>
      <c r="Q123" s="140" t="s">
        <v>196</v>
      </c>
      <c r="R123" s="111" t="s">
        <v>426</v>
      </c>
      <c r="S123" s="114"/>
      <c r="T123" s="2"/>
    </row>
    <row r="124" spans="1:20" s="115" customFormat="1" ht="108" outlineLevel="1" x14ac:dyDescent="0.25">
      <c r="A124" s="32">
        <v>72</v>
      </c>
      <c r="B124" s="45" t="s">
        <v>197</v>
      </c>
      <c r="C124" s="45" t="s">
        <v>191</v>
      </c>
      <c r="D124" s="38" t="s">
        <v>408</v>
      </c>
      <c r="E124" s="98" t="s">
        <v>337</v>
      </c>
      <c r="F124" s="38" t="s">
        <v>587</v>
      </c>
      <c r="G124" s="38" t="s">
        <v>399</v>
      </c>
      <c r="H124" s="98"/>
      <c r="I124" s="98" t="s">
        <v>198</v>
      </c>
      <c r="J124" s="25" t="s">
        <v>2</v>
      </c>
      <c r="K124" s="135">
        <v>60132468</v>
      </c>
      <c r="L124" s="112">
        <v>60132468</v>
      </c>
      <c r="M124" s="39">
        <v>1E-4</v>
      </c>
      <c r="N124" s="112">
        <f>4625574.5+4625574.5+4625574.5+4625574.5+4625575+4625575+4625575+4625575+4625575+4625575+4625575+4625575+4625570</f>
        <v>60132468</v>
      </c>
      <c r="O124" s="112">
        <f>10367+1511.2+1400+1500+1500+1000+20000+1000</f>
        <v>38278.199999999997</v>
      </c>
      <c r="P124" s="73">
        <f t="shared" si="6"/>
        <v>0</v>
      </c>
      <c r="Q124" s="140" t="s">
        <v>199</v>
      </c>
      <c r="R124" s="111" t="s">
        <v>485</v>
      </c>
      <c r="S124" s="155"/>
      <c r="T124" s="2"/>
    </row>
    <row r="125" spans="1:20" s="115" customFormat="1" ht="108" outlineLevel="1" x14ac:dyDescent="0.25">
      <c r="A125" s="32">
        <v>73</v>
      </c>
      <c r="B125" s="45" t="s">
        <v>200</v>
      </c>
      <c r="C125" s="45" t="s">
        <v>191</v>
      </c>
      <c r="D125" s="38" t="s">
        <v>408</v>
      </c>
      <c r="E125" s="98" t="s">
        <v>338</v>
      </c>
      <c r="F125" s="38" t="s">
        <v>588</v>
      </c>
      <c r="G125" s="38" t="s">
        <v>399</v>
      </c>
      <c r="H125" s="98"/>
      <c r="I125" s="98" t="s">
        <v>201</v>
      </c>
      <c r="J125" s="25" t="s">
        <v>2</v>
      </c>
      <c r="K125" s="28">
        <f>9500000+12453199</f>
        <v>21953199</v>
      </c>
      <c r="L125" s="112">
        <f>9500000+12453199</f>
        <v>21953199</v>
      </c>
      <c r="M125" s="39">
        <v>1E-4</v>
      </c>
      <c r="N125" s="112"/>
      <c r="O125" s="112">
        <v>3720</v>
      </c>
      <c r="P125" s="73">
        <f t="shared" si="6"/>
        <v>21953199</v>
      </c>
      <c r="Q125" s="140" t="s">
        <v>202</v>
      </c>
      <c r="R125" s="111" t="s">
        <v>426</v>
      </c>
      <c r="S125" s="155"/>
      <c r="T125" s="2"/>
    </row>
    <row r="126" spans="1:20" s="115" customFormat="1" ht="129.75" customHeight="1" outlineLevel="1" x14ac:dyDescent="0.25">
      <c r="A126" s="32">
        <v>74</v>
      </c>
      <c r="B126" s="45" t="s">
        <v>203</v>
      </c>
      <c r="C126" s="45" t="s">
        <v>191</v>
      </c>
      <c r="D126" s="38" t="s">
        <v>408</v>
      </c>
      <c r="E126" s="98" t="s">
        <v>338</v>
      </c>
      <c r="F126" s="38" t="s">
        <v>589</v>
      </c>
      <c r="G126" s="38" t="s">
        <v>399</v>
      </c>
      <c r="H126" s="98"/>
      <c r="I126" s="98" t="s">
        <v>204</v>
      </c>
      <c r="J126" s="25" t="s">
        <v>2</v>
      </c>
      <c r="K126" s="135">
        <v>15801400</v>
      </c>
      <c r="L126" s="112">
        <v>15801400</v>
      </c>
      <c r="M126" s="39">
        <v>1E-4</v>
      </c>
      <c r="N126" s="112"/>
      <c r="O126" s="112">
        <v>3500</v>
      </c>
      <c r="P126" s="73">
        <f t="shared" si="6"/>
        <v>15801400</v>
      </c>
      <c r="Q126" s="140" t="s">
        <v>205</v>
      </c>
      <c r="R126" s="111" t="s">
        <v>426</v>
      </c>
      <c r="S126" s="155"/>
      <c r="T126" s="2"/>
    </row>
    <row r="127" spans="1:20" s="115" customFormat="1" ht="129.75" customHeight="1" outlineLevel="1" x14ac:dyDescent="0.25">
      <c r="A127" s="32">
        <v>75</v>
      </c>
      <c r="B127" s="45" t="s">
        <v>206</v>
      </c>
      <c r="C127" s="45" t="s">
        <v>191</v>
      </c>
      <c r="D127" s="38" t="s">
        <v>408</v>
      </c>
      <c r="E127" s="98" t="s">
        <v>338</v>
      </c>
      <c r="F127" s="38" t="s">
        <v>590</v>
      </c>
      <c r="G127" s="38" t="s">
        <v>399</v>
      </c>
      <c r="H127" s="98"/>
      <c r="I127" s="98" t="s">
        <v>204</v>
      </c>
      <c r="J127" s="25" t="s">
        <v>2</v>
      </c>
      <c r="K127" s="135">
        <v>2554000</v>
      </c>
      <c r="L127" s="112">
        <v>2554000</v>
      </c>
      <c r="M127" s="39">
        <v>1E-4</v>
      </c>
      <c r="N127" s="112"/>
      <c r="O127" s="112">
        <f>500</f>
        <v>500</v>
      </c>
      <c r="P127" s="73">
        <f t="shared" si="6"/>
        <v>2554000</v>
      </c>
      <c r="Q127" s="140" t="s">
        <v>207</v>
      </c>
      <c r="R127" s="111" t="s">
        <v>426</v>
      </c>
      <c r="S127" s="155"/>
      <c r="T127" s="2"/>
    </row>
    <row r="128" spans="1:20" s="115" customFormat="1" ht="129.75" customHeight="1" outlineLevel="1" x14ac:dyDescent="0.25">
      <c r="A128" s="32">
        <v>76</v>
      </c>
      <c r="B128" s="45" t="s">
        <v>208</v>
      </c>
      <c r="C128" s="45" t="s">
        <v>191</v>
      </c>
      <c r="D128" s="38" t="s">
        <v>408</v>
      </c>
      <c r="E128" s="98" t="s">
        <v>338</v>
      </c>
      <c r="F128" s="38" t="s">
        <v>591</v>
      </c>
      <c r="G128" s="38" t="s">
        <v>399</v>
      </c>
      <c r="H128" s="98"/>
      <c r="I128" s="98" t="s">
        <v>209</v>
      </c>
      <c r="J128" s="25" t="s">
        <v>2</v>
      </c>
      <c r="K128" s="135">
        <v>29053320</v>
      </c>
      <c r="L128" s="112">
        <v>29053320</v>
      </c>
      <c r="M128" s="39">
        <v>1E-4</v>
      </c>
      <c r="N128" s="112"/>
      <c r="O128" s="112">
        <f>2000+3000</f>
        <v>5000</v>
      </c>
      <c r="P128" s="73">
        <f t="shared" si="6"/>
        <v>29053320</v>
      </c>
      <c r="Q128" s="140" t="s">
        <v>210</v>
      </c>
      <c r="R128" s="111" t="s">
        <v>426</v>
      </c>
      <c r="S128" s="155"/>
      <c r="T128" s="2"/>
    </row>
    <row r="129" spans="1:20" s="115" customFormat="1" ht="129.75" customHeight="1" outlineLevel="1" x14ac:dyDescent="0.25">
      <c r="A129" s="32">
        <v>77</v>
      </c>
      <c r="B129" s="45" t="s">
        <v>211</v>
      </c>
      <c r="C129" s="45" t="s">
        <v>191</v>
      </c>
      <c r="D129" s="38" t="s">
        <v>408</v>
      </c>
      <c r="E129" s="98" t="s">
        <v>338</v>
      </c>
      <c r="F129" s="38" t="s">
        <v>592</v>
      </c>
      <c r="G129" s="38" t="s">
        <v>399</v>
      </c>
      <c r="H129" s="98"/>
      <c r="I129" s="98" t="s">
        <v>212</v>
      </c>
      <c r="J129" s="25" t="s">
        <v>2</v>
      </c>
      <c r="K129" s="135">
        <v>192064443</v>
      </c>
      <c r="L129" s="112">
        <f>95000000+97064443</f>
        <v>192064443</v>
      </c>
      <c r="M129" s="39">
        <v>1E-4</v>
      </c>
      <c r="N129" s="112">
        <f>65000000+20000000+30000000+10000000+10000000</f>
        <v>135000000</v>
      </c>
      <c r="O129" s="112">
        <f>16100+12200+23933</f>
        <v>52233</v>
      </c>
      <c r="P129" s="73">
        <f t="shared" si="6"/>
        <v>57064443</v>
      </c>
      <c r="Q129" s="140" t="s">
        <v>213</v>
      </c>
      <c r="R129" s="111" t="s">
        <v>424</v>
      </c>
      <c r="S129" s="155"/>
      <c r="T129" s="2"/>
    </row>
    <row r="130" spans="1:20" s="115" customFormat="1" ht="129.75" customHeight="1" outlineLevel="1" x14ac:dyDescent="0.25">
      <c r="A130" s="32">
        <v>78</v>
      </c>
      <c r="B130" s="45" t="s">
        <v>215</v>
      </c>
      <c r="C130" s="45" t="s">
        <v>191</v>
      </c>
      <c r="D130" s="38" t="s">
        <v>408</v>
      </c>
      <c r="E130" s="98" t="s">
        <v>338</v>
      </c>
      <c r="F130" s="38" t="s">
        <v>593</v>
      </c>
      <c r="G130" s="38" t="s">
        <v>399</v>
      </c>
      <c r="H130" s="98"/>
      <c r="I130" s="98" t="s">
        <v>214</v>
      </c>
      <c r="J130" s="25" t="s">
        <v>2</v>
      </c>
      <c r="K130" s="135">
        <v>3469534</v>
      </c>
      <c r="L130" s="112">
        <v>3469534</v>
      </c>
      <c r="M130" s="39">
        <v>1E-4</v>
      </c>
      <c r="N130" s="112">
        <v>266887</v>
      </c>
      <c r="O130" s="112">
        <f>600+86</f>
        <v>686</v>
      </c>
      <c r="P130" s="73">
        <f t="shared" si="6"/>
        <v>3202647</v>
      </c>
      <c r="Q130" s="140" t="s">
        <v>216</v>
      </c>
      <c r="R130" s="111" t="s">
        <v>426</v>
      </c>
      <c r="S130" s="155"/>
      <c r="T130" s="2"/>
    </row>
    <row r="131" spans="1:20" s="115" customFormat="1" ht="129.75" customHeight="1" outlineLevel="1" x14ac:dyDescent="0.25">
      <c r="A131" s="32">
        <v>79</v>
      </c>
      <c r="B131" s="45" t="s">
        <v>217</v>
      </c>
      <c r="C131" s="45" t="s">
        <v>191</v>
      </c>
      <c r="D131" s="38" t="s">
        <v>408</v>
      </c>
      <c r="E131" s="98" t="s">
        <v>338</v>
      </c>
      <c r="F131" s="38" t="s">
        <v>594</v>
      </c>
      <c r="G131" s="38" t="s">
        <v>399</v>
      </c>
      <c r="H131" s="98"/>
      <c r="I131" s="98" t="s">
        <v>218</v>
      </c>
      <c r="J131" s="25" t="s">
        <v>2</v>
      </c>
      <c r="K131" s="135">
        <v>11781702</v>
      </c>
      <c r="L131" s="112">
        <v>11781702</v>
      </c>
      <c r="M131" s="39">
        <v>1E-4</v>
      </c>
      <c r="N131" s="112">
        <f>906285+906285+906285+906285+906285+906285+906285+906285+906285+906285+906285+910000+902567</f>
        <v>11781702</v>
      </c>
      <c r="O131" s="112">
        <f>3000+1500+1500</f>
        <v>6000</v>
      </c>
      <c r="P131" s="73">
        <f t="shared" si="6"/>
        <v>0</v>
      </c>
      <c r="Q131" s="140" t="s">
        <v>219</v>
      </c>
      <c r="R131" s="111" t="s">
        <v>485</v>
      </c>
      <c r="S131" s="155"/>
      <c r="T131" s="2"/>
    </row>
    <row r="132" spans="1:20" s="115" customFormat="1" ht="129.75" customHeight="1" outlineLevel="1" x14ac:dyDescent="0.25">
      <c r="A132" s="32">
        <v>0</v>
      </c>
      <c r="B132" s="45" t="s">
        <v>220</v>
      </c>
      <c r="C132" s="45" t="s">
        <v>191</v>
      </c>
      <c r="D132" s="38" t="s">
        <v>408</v>
      </c>
      <c r="E132" s="98" t="s">
        <v>338</v>
      </c>
      <c r="F132" s="38" t="s">
        <v>593</v>
      </c>
      <c r="G132" s="38" t="s">
        <v>399</v>
      </c>
      <c r="H132" s="98"/>
      <c r="I132" s="98" t="s">
        <v>221</v>
      </c>
      <c r="J132" s="25" t="s">
        <v>2</v>
      </c>
      <c r="K132" s="135">
        <f>112000000+16200000</f>
        <v>128200000</v>
      </c>
      <c r="L132" s="112">
        <f>112000000+16200000</f>
        <v>128200000</v>
      </c>
      <c r="M132" s="39">
        <v>1E-4</v>
      </c>
      <c r="N132" s="112">
        <f>3000000+3000000+4000000</f>
        <v>10000000</v>
      </c>
      <c r="O132" s="112">
        <f>25640+12820+12820+12820</f>
        <v>64100</v>
      </c>
      <c r="P132" s="73">
        <f t="shared" si="6"/>
        <v>118200000</v>
      </c>
      <c r="Q132" s="140" t="s">
        <v>222</v>
      </c>
      <c r="R132" s="111" t="s">
        <v>426</v>
      </c>
      <c r="S132" s="155"/>
      <c r="T132" s="2"/>
    </row>
    <row r="133" spans="1:20" s="115" customFormat="1" ht="129.75" customHeight="1" outlineLevel="1" x14ac:dyDescent="0.25">
      <c r="A133" s="32">
        <v>81</v>
      </c>
      <c r="B133" s="45" t="s">
        <v>223</v>
      </c>
      <c r="C133" s="45" t="s">
        <v>191</v>
      </c>
      <c r="D133" s="38" t="s">
        <v>408</v>
      </c>
      <c r="E133" s="98" t="s">
        <v>338</v>
      </c>
      <c r="F133" s="38" t="s">
        <v>595</v>
      </c>
      <c r="G133" s="38" t="s">
        <v>399</v>
      </c>
      <c r="H133" s="98"/>
      <c r="I133" s="98" t="s">
        <v>224</v>
      </c>
      <c r="J133" s="25" t="s">
        <v>2</v>
      </c>
      <c r="K133" s="135">
        <v>26127500</v>
      </c>
      <c r="L133" s="112">
        <v>26127500</v>
      </c>
      <c r="M133" s="39">
        <v>1E-4</v>
      </c>
      <c r="N133" s="112"/>
      <c r="O133" s="112">
        <f>4530</f>
        <v>4530</v>
      </c>
      <c r="P133" s="73">
        <f t="shared" si="6"/>
        <v>26127500</v>
      </c>
      <c r="Q133" s="140" t="s">
        <v>225</v>
      </c>
      <c r="R133" s="111" t="s">
        <v>426</v>
      </c>
      <c r="S133" s="155"/>
      <c r="T133" s="2"/>
    </row>
    <row r="134" spans="1:20" s="115" customFormat="1" ht="129.75" customHeight="1" outlineLevel="1" x14ac:dyDescent="0.25">
      <c r="A134" s="32">
        <v>82</v>
      </c>
      <c r="B134" s="45" t="s">
        <v>226</v>
      </c>
      <c r="C134" s="45" t="s">
        <v>191</v>
      </c>
      <c r="D134" s="38" t="s">
        <v>408</v>
      </c>
      <c r="E134" s="98" t="s">
        <v>338</v>
      </c>
      <c r="F134" s="38" t="s">
        <v>596</v>
      </c>
      <c r="G134" s="38" t="s">
        <v>399</v>
      </c>
      <c r="H134" s="98"/>
      <c r="I134" s="98" t="s">
        <v>227</v>
      </c>
      <c r="J134" s="25" t="s">
        <v>2</v>
      </c>
      <c r="K134" s="135">
        <v>19297200</v>
      </c>
      <c r="L134" s="112">
        <f>10800000+3440000+1440000+3617200</f>
        <v>19297200</v>
      </c>
      <c r="M134" s="39">
        <v>1E-4</v>
      </c>
      <c r="N134" s="112"/>
      <c r="O134" s="112">
        <f>3000</f>
        <v>3000</v>
      </c>
      <c r="P134" s="73">
        <f t="shared" si="6"/>
        <v>19297200</v>
      </c>
      <c r="Q134" s="140" t="s">
        <v>228</v>
      </c>
      <c r="R134" s="111" t="s">
        <v>487</v>
      </c>
      <c r="S134" s="155"/>
      <c r="T134" s="2"/>
    </row>
    <row r="135" spans="1:20" s="115" customFormat="1" ht="129.75" customHeight="1" outlineLevel="1" x14ac:dyDescent="0.25">
      <c r="A135" s="32">
        <v>83</v>
      </c>
      <c r="B135" s="45" t="s">
        <v>229</v>
      </c>
      <c r="C135" s="45" t="s">
        <v>191</v>
      </c>
      <c r="D135" s="38" t="s">
        <v>408</v>
      </c>
      <c r="E135" s="98" t="s">
        <v>338</v>
      </c>
      <c r="F135" s="38" t="s">
        <v>593</v>
      </c>
      <c r="G135" s="38" t="s">
        <v>399</v>
      </c>
      <c r="H135" s="98"/>
      <c r="I135" s="98" t="s">
        <v>214</v>
      </c>
      <c r="J135" s="25" t="s">
        <v>2</v>
      </c>
      <c r="K135" s="135">
        <v>2164000</v>
      </c>
      <c r="L135" s="112">
        <v>2164000</v>
      </c>
      <c r="M135" s="39">
        <v>1E-4</v>
      </c>
      <c r="N135" s="112">
        <f>166462+166462+165000+167000+166500+166500+67000+265923+100000</f>
        <v>1430847</v>
      </c>
      <c r="O135" s="112">
        <f>370+54.8+100+100+500</f>
        <v>1124.8</v>
      </c>
      <c r="P135" s="73">
        <f>L135-O135</f>
        <v>2162875.2000000002</v>
      </c>
      <c r="Q135" s="140" t="s">
        <v>230</v>
      </c>
      <c r="R135" s="111" t="s">
        <v>424</v>
      </c>
      <c r="S135" s="155"/>
      <c r="T135" s="2"/>
    </row>
    <row r="136" spans="1:20" s="115" customFormat="1" ht="129.75" customHeight="1" outlineLevel="1" x14ac:dyDescent="0.25">
      <c r="A136" s="32">
        <v>84</v>
      </c>
      <c r="B136" s="45" t="s">
        <v>231</v>
      </c>
      <c r="C136" s="45" t="s">
        <v>191</v>
      </c>
      <c r="D136" s="38" t="s">
        <v>408</v>
      </c>
      <c r="E136" s="98" t="s">
        <v>338</v>
      </c>
      <c r="F136" s="38" t="s">
        <v>597</v>
      </c>
      <c r="G136" s="38" t="s">
        <v>399</v>
      </c>
      <c r="H136" s="98"/>
      <c r="I136" s="98" t="s">
        <v>232</v>
      </c>
      <c r="J136" s="25" t="s">
        <v>2</v>
      </c>
      <c r="K136" s="135">
        <v>253504102</v>
      </c>
      <c r="L136" s="112">
        <v>253504102</v>
      </c>
      <c r="M136" s="39">
        <v>1E-4</v>
      </c>
      <c r="N136" s="112">
        <f>19500316+19500316+19500315+19500315+19500315+19500315+19500316+19500316+19500316+19500316+19500316+19500315</f>
        <v>234003787</v>
      </c>
      <c r="O136" s="112">
        <f>5973+6390+6181+6389+6181.4+6390+6390+6390+6389+5407+7015+5059.2+9482.9+6657</f>
        <v>90294.499999999985</v>
      </c>
      <c r="P136" s="73">
        <f t="shared" ref="P136:P142" si="7">L136-N136</f>
        <v>19500315</v>
      </c>
      <c r="Q136" s="140" t="s">
        <v>233</v>
      </c>
      <c r="R136" s="111" t="s">
        <v>424</v>
      </c>
      <c r="S136" s="155"/>
      <c r="T136" s="2"/>
    </row>
    <row r="137" spans="1:20" s="115" customFormat="1" ht="129.75" customHeight="1" outlineLevel="1" x14ac:dyDescent="0.25">
      <c r="A137" s="32">
        <v>85</v>
      </c>
      <c r="B137" s="45" t="s">
        <v>234</v>
      </c>
      <c r="C137" s="45" t="s">
        <v>191</v>
      </c>
      <c r="D137" s="38" t="s">
        <v>408</v>
      </c>
      <c r="E137" s="98" t="s">
        <v>338</v>
      </c>
      <c r="F137" s="38" t="s">
        <v>598</v>
      </c>
      <c r="G137" s="38" t="s">
        <v>399</v>
      </c>
      <c r="H137" s="98"/>
      <c r="I137" s="98" t="s">
        <v>232</v>
      </c>
      <c r="J137" s="25" t="s">
        <v>2</v>
      </c>
      <c r="K137" s="135">
        <v>76200000</v>
      </c>
      <c r="L137" s="112">
        <v>76200000</v>
      </c>
      <c r="M137" s="39">
        <v>1E-4</v>
      </c>
      <c r="N137" s="112"/>
      <c r="O137" s="112">
        <f>7620+5520</f>
        <v>13140</v>
      </c>
      <c r="P137" s="73">
        <f t="shared" si="7"/>
        <v>76200000</v>
      </c>
      <c r="Q137" s="140" t="s">
        <v>235</v>
      </c>
      <c r="R137" s="111" t="s">
        <v>426</v>
      </c>
      <c r="S137" s="155"/>
      <c r="T137" s="2"/>
    </row>
    <row r="138" spans="1:20" s="115" customFormat="1" ht="108" outlineLevel="1" x14ac:dyDescent="0.25">
      <c r="A138" s="32">
        <v>86</v>
      </c>
      <c r="B138" s="45" t="s">
        <v>236</v>
      </c>
      <c r="C138" s="45" t="s">
        <v>191</v>
      </c>
      <c r="D138" s="38" t="s">
        <v>408</v>
      </c>
      <c r="E138" s="98" t="s">
        <v>338</v>
      </c>
      <c r="F138" s="38" t="s">
        <v>594</v>
      </c>
      <c r="G138" s="38" t="s">
        <v>399</v>
      </c>
      <c r="H138" s="98"/>
      <c r="I138" s="98" t="s">
        <v>237</v>
      </c>
      <c r="J138" s="25" t="s">
        <v>2</v>
      </c>
      <c r="K138" s="135">
        <v>50613970</v>
      </c>
      <c r="L138" s="112">
        <v>50613970</v>
      </c>
      <c r="M138" s="39">
        <v>1E-4</v>
      </c>
      <c r="N138" s="112"/>
      <c r="O138" s="112">
        <f>8800+8800</f>
        <v>17600</v>
      </c>
      <c r="P138" s="73">
        <f t="shared" si="7"/>
        <v>50613970</v>
      </c>
      <c r="Q138" s="140" t="s">
        <v>238</v>
      </c>
      <c r="R138" s="111" t="s">
        <v>426</v>
      </c>
      <c r="S138" s="155"/>
      <c r="T138" s="2"/>
    </row>
    <row r="139" spans="1:20" s="115" customFormat="1" ht="108" outlineLevel="1" x14ac:dyDescent="0.25">
      <c r="A139" s="32">
        <v>87</v>
      </c>
      <c r="B139" s="45" t="s">
        <v>239</v>
      </c>
      <c r="C139" s="45" t="s">
        <v>191</v>
      </c>
      <c r="D139" s="38" t="s">
        <v>408</v>
      </c>
      <c r="E139" s="98" t="s">
        <v>338</v>
      </c>
      <c r="F139" s="38" t="s">
        <v>599</v>
      </c>
      <c r="G139" s="38" t="s">
        <v>399</v>
      </c>
      <c r="H139" s="98"/>
      <c r="I139" s="98" t="s">
        <v>240</v>
      </c>
      <c r="J139" s="25" t="s">
        <v>2</v>
      </c>
      <c r="K139" s="135">
        <v>184740000</v>
      </c>
      <c r="L139" s="112">
        <v>184740000</v>
      </c>
      <c r="M139" s="39">
        <v>1E-4</v>
      </c>
      <c r="N139" s="112"/>
      <c r="O139" s="112">
        <f>31700</f>
        <v>31700</v>
      </c>
      <c r="P139" s="73">
        <f t="shared" si="7"/>
        <v>184740000</v>
      </c>
      <c r="Q139" s="140" t="s">
        <v>241</v>
      </c>
      <c r="R139" s="111" t="s">
        <v>487</v>
      </c>
      <c r="S139" s="155"/>
      <c r="T139" s="2"/>
    </row>
    <row r="140" spans="1:20" s="115" customFormat="1" ht="108" outlineLevel="1" x14ac:dyDescent="0.25">
      <c r="A140" s="32">
        <v>88</v>
      </c>
      <c r="B140" s="45" t="s">
        <v>242</v>
      </c>
      <c r="C140" s="45" t="s">
        <v>191</v>
      </c>
      <c r="D140" s="38" t="s">
        <v>408</v>
      </c>
      <c r="E140" s="98" t="s">
        <v>338</v>
      </c>
      <c r="F140" s="38" t="s">
        <v>600</v>
      </c>
      <c r="G140" s="38" t="s">
        <v>399</v>
      </c>
      <c r="H140" s="98"/>
      <c r="I140" s="98" t="s">
        <v>243</v>
      </c>
      <c r="J140" s="25" t="s">
        <v>2</v>
      </c>
      <c r="K140" s="135">
        <v>219559596</v>
      </c>
      <c r="L140" s="112">
        <v>219559596</v>
      </c>
      <c r="M140" s="39">
        <v>1E-4</v>
      </c>
      <c r="N140" s="112">
        <f>16889200+16889200+185781196</f>
        <v>219559596</v>
      </c>
      <c r="O140" s="112">
        <f>5294+5294+27550+5533+1000</f>
        <v>44671</v>
      </c>
      <c r="P140" s="73">
        <f t="shared" si="7"/>
        <v>0</v>
      </c>
      <c r="Q140" s="140" t="s">
        <v>396</v>
      </c>
      <c r="R140" s="111" t="s">
        <v>485</v>
      </c>
      <c r="S140" s="155"/>
      <c r="T140" s="2"/>
    </row>
    <row r="141" spans="1:20" s="115" customFormat="1" ht="108" outlineLevel="1" x14ac:dyDescent="0.25">
      <c r="A141" s="32">
        <v>89</v>
      </c>
      <c r="B141" s="45" t="s">
        <v>244</v>
      </c>
      <c r="C141" s="45" t="s">
        <v>191</v>
      </c>
      <c r="D141" s="38" t="s">
        <v>408</v>
      </c>
      <c r="E141" s="98" t="s">
        <v>338</v>
      </c>
      <c r="F141" s="38" t="s">
        <v>599</v>
      </c>
      <c r="G141" s="38" t="s">
        <v>399</v>
      </c>
      <c r="H141" s="98"/>
      <c r="I141" s="98" t="s">
        <v>240</v>
      </c>
      <c r="J141" s="25" t="s">
        <v>2</v>
      </c>
      <c r="K141" s="135">
        <v>29081500</v>
      </c>
      <c r="L141" s="112">
        <v>29081500</v>
      </c>
      <c r="M141" s="39">
        <v>1E-4</v>
      </c>
      <c r="N141" s="112"/>
      <c r="O141" s="112">
        <f>1000+4000+3000+1000+1000</f>
        <v>10000</v>
      </c>
      <c r="P141" s="73">
        <f t="shared" si="7"/>
        <v>29081500</v>
      </c>
      <c r="Q141" s="140" t="s">
        <v>245</v>
      </c>
      <c r="R141" s="111" t="s">
        <v>426</v>
      </c>
      <c r="S141" s="155"/>
      <c r="T141" s="2"/>
    </row>
    <row r="142" spans="1:20" s="115" customFormat="1" ht="123" customHeight="1" outlineLevel="1" thickBot="1" x14ac:dyDescent="0.3">
      <c r="A142" s="32">
        <v>90</v>
      </c>
      <c r="B142" s="117" t="s">
        <v>246</v>
      </c>
      <c r="C142" s="117" t="s">
        <v>191</v>
      </c>
      <c r="D142" s="118" t="s">
        <v>408</v>
      </c>
      <c r="E142" s="119" t="s">
        <v>338</v>
      </c>
      <c r="F142" s="118" t="s">
        <v>162</v>
      </c>
      <c r="G142" s="118" t="s">
        <v>399</v>
      </c>
      <c r="H142" s="119"/>
      <c r="I142" s="119" t="s">
        <v>247</v>
      </c>
      <c r="J142" s="118" t="s">
        <v>2</v>
      </c>
      <c r="K142" s="135">
        <v>12060940</v>
      </c>
      <c r="L142" s="152">
        <v>12060940</v>
      </c>
      <c r="M142" s="39">
        <v>1E-4</v>
      </c>
      <c r="N142" s="112"/>
      <c r="O142" s="112">
        <v>2170</v>
      </c>
      <c r="P142" s="73">
        <f t="shared" si="7"/>
        <v>12060940</v>
      </c>
      <c r="Q142" s="140" t="s">
        <v>248</v>
      </c>
      <c r="R142" s="111" t="s">
        <v>426</v>
      </c>
      <c r="S142" s="155"/>
      <c r="T142" s="2"/>
    </row>
    <row r="143" spans="1:20" s="79" customFormat="1" ht="30" customHeight="1" x14ac:dyDescent="0.25">
      <c r="A143" s="231" t="s">
        <v>395</v>
      </c>
      <c r="B143" s="232"/>
      <c r="C143" s="233"/>
      <c r="D143" s="126"/>
      <c r="E143" s="126"/>
      <c r="F143" s="126"/>
      <c r="G143" s="127"/>
      <c r="H143" s="127"/>
      <c r="I143" s="127"/>
      <c r="J143" s="156" t="s">
        <v>25</v>
      </c>
      <c r="K143" s="76">
        <f>SUMIF($J$122:$J$142,J143,$K$122:$K$142)</f>
        <v>0</v>
      </c>
      <c r="L143" s="105">
        <f>SUMIF($J$112:$J$142,J143,$L$112:$L$142)</f>
        <v>0</v>
      </c>
      <c r="M143" s="105"/>
      <c r="N143" s="128">
        <f>SUMIF($J$122:$J$142,J143,$N$122:$N$142)</f>
        <v>0</v>
      </c>
      <c r="O143" s="105">
        <f>SUMIF($J$112:$J$142,J143,$O$112:$O$142)</f>
        <v>0</v>
      </c>
      <c r="P143" s="105">
        <f>SUMIF($J$112:$J$142,J143,$P$112:$P$142)</f>
        <v>0</v>
      </c>
      <c r="Q143" s="77"/>
      <c r="R143" s="78"/>
      <c r="S143" s="51"/>
      <c r="T143" s="2"/>
    </row>
    <row r="144" spans="1:20" s="79" customFormat="1" ht="27" customHeight="1" x14ac:dyDescent="0.25">
      <c r="A144" s="231"/>
      <c r="B144" s="232"/>
      <c r="C144" s="233"/>
      <c r="D144" s="106"/>
      <c r="E144" s="106"/>
      <c r="F144" s="106"/>
      <c r="G144" s="80"/>
      <c r="H144" s="80"/>
      <c r="I144" s="80"/>
      <c r="J144" s="157" t="s">
        <v>2</v>
      </c>
      <c r="K144" s="81">
        <f>SUMIF($J$122:$J$142,J144,$K$122:$K$142)</f>
        <v>2011462986</v>
      </c>
      <c r="L144" s="81">
        <f>SUMIF($J$122:$J$142,J144,$L$122:$L$142)</f>
        <v>2011462986</v>
      </c>
      <c r="M144" s="81"/>
      <c r="N144" s="81">
        <f>SUMIF($J$122:$J$142,J144,$N$122:$N$142)</f>
        <v>804750304.20000005</v>
      </c>
      <c r="O144" s="81">
        <f>SUMIF($J$122:$J$142,J144,$O$122:$O$142)</f>
        <v>549062.19999999995</v>
      </c>
      <c r="P144" s="81">
        <f>SUMIF($J$122:$J$142,J144,$P$122:$P$142)</f>
        <v>1208142404</v>
      </c>
      <c r="Q144" s="82"/>
      <c r="R144" s="83"/>
      <c r="S144" s="51"/>
      <c r="T144" s="2"/>
    </row>
    <row r="145" spans="1:20" s="79" customFormat="1" ht="28.5" customHeight="1" x14ac:dyDescent="0.25">
      <c r="A145" s="231"/>
      <c r="B145" s="232"/>
      <c r="C145" s="233"/>
      <c r="D145" s="106"/>
      <c r="E145" s="106"/>
      <c r="F145" s="106"/>
      <c r="G145" s="80"/>
      <c r="H145" s="80"/>
      <c r="I145" s="80"/>
      <c r="J145" s="157" t="s">
        <v>47</v>
      </c>
      <c r="K145" s="81">
        <f>SUMIF($J$122:$J$142,J145,$K$122:$K$142)</f>
        <v>0</v>
      </c>
      <c r="L145" s="81">
        <f>SUMIF($J$112:$J$142,J145,$L$112:$L$142)</f>
        <v>0</v>
      </c>
      <c r="M145" s="81"/>
      <c r="N145" s="81">
        <f>SUMIF($J$112:$J$142,J145,$N$112:$N$142)</f>
        <v>0</v>
      </c>
      <c r="O145" s="81">
        <f>SUMIF($J$112:$J$142,J145,$O$112:$O$142)</f>
        <v>0</v>
      </c>
      <c r="P145" s="81">
        <f>SUMIF($J$112:$J$142,J145,$P$112:$P$142)</f>
        <v>0</v>
      </c>
      <c r="Q145" s="82"/>
      <c r="R145" s="83"/>
      <c r="S145" s="51"/>
      <c r="T145" s="2"/>
    </row>
    <row r="146" spans="1:20" s="79" customFormat="1" ht="30" customHeight="1" thickBot="1" x14ac:dyDescent="0.3">
      <c r="A146" s="234"/>
      <c r="B146" s="235"/>
      <c r="C146" s="236"/>
      <c r="D146" s="107"/>
      <c r="E146" s="107"/>
      <c r="F146" s="107"/>
      <c r="G146" s="88"/>
      <c r="H146" s="88"/>
      <c r="I146" s="88"/>
      <c r="J146" s="90" t="s">
        <v>67</v>
      </c>
      <c r="K146" s="92">
        <f>SUMIF($J$122:$J$142,J146,$K$122:$K$142)</f>
        <v>0</v>
      </c>
      <c r="L146" s="92">
        <f>SUMIF($J$112:$J$142,J146,$L$112:$L$142)</f>
        <v>0</v>
      </c>
      <c r="M146" s="92"/>
      <c r="N146" s="92">
        <f>SUMIF($J$112:$J$142,J146,$N$112:$N$142)</f>
        <v>0</v>
      </c>
      <c r="O146" s="92">
        <f>SUMIF($J$112:$J$142,J146,$O$112:$O$142)</f>
        <v>0</v>
      </c>
      <c r="P146" s="92">
        <f>SUMIF($J$112:$J$142,J146,$P$112:$P$142)</f>
        <v>0</v>
      </c>
      <c r="Q146" s="93"/>
      <c r="R146" s="94"/>
      <c r="S146" s="51"/>
      <c r="T146" s="2"/>
    </row>
    <row r="147" spans="1:20" s="79" customFormat="1" ht="15.75" customHeight="1" x14ac:dyDescent="0.25">
      <c r="A147" s="237" t="s">
        <v>249</v>
      </c>
      <c r="B147" s="238"/>
      <c r="C147" s="239"/>
      <c r="D147" s="126"/>
      <c r="E147" s="126"/>
      <c r="F147" s="126"/>
      <c r="G147" s="127"/>
      <c r="H147" s="127"/>
      <c r="I147" s="127"/>
      <c r="J147" s="156" t="s">
        <v>25</v>
      </c>
      <c r="K147" s="128">
        <f t="shared" ref="K147:P150" si="8">K51+K62+K73+K108+K118+K143</f>
        <v>340755742.28000003</v>
      </c>
      <c r="L147" s="128">
        <f t="shared" si="8"/>
        <v>145061877.89000002</v>
      </c>
      <c r="M147" s="128">
        <f t="shared" si="8"/>
        <v>0</v>
      </c>
      <c r="N147" s="128">
        <f t="shared" si="8"/>
        <v>60953372.794633225</v>
      </c>
      <c r="O147" s="128">
        <f t="shared" si="8"/>
        <v>23508449.857604608</v>
      </c>
      <c r="P147" s="128">
        <f t="shared" si="8"/>
        <v>84870073.525366783</v>
      </c>
      <c r="Q147" s="129"/>
      <c r="R147" s="78"/>
      <c r="S147" s="51"/>
      <c r="T147" s="2"/>
    </row>
    <row r="148" spans="1:20" s="79" customFormat="1" ht="17.25" customHeight="1" x14ac:dyDescent="0.25">
      <c r="A148" s="231"/>
      <c r="B148" s="232"/>
      <c r="C148" s="233"/>
      <c r="D148" s="106"/>
      <c r="E148" s="106"/>
      <c r="F148" s="106"/>
      <c r="G148" s="80"/>
      <c r="H148" s="80"/>
      <c r="I148" s="80"/>
      <c r="J148" s="157" t="s">
        <v>2</v>
      </c>
      <c r="K148" s="128">
        <f t="shared" si="8"/>
        <v>206519010224.71002</v>
      </c>
      <c r="L148" s="128">
        <f t="shared" si="8"/>
        <v>204998442907.60999</v>
      </c>
      <c r="M148" s="128">
        <f t="shared" si="8"/>
        <v>0</v>
      </c>
      <c r="N148" s="128">
        <f t="shared" si="8"/>
        <v>108125614371.98473</v>
      </c>
      <c r="O148" s="128">
        <f t="shared" si="8"/>
        <v>54590071123.757271</v>
      </c>
      <c r="P148" s="128">
        <f t="shared" si="8"/>
        <v>96624258257.825272</v>
      </c>
      <c r="Q148" s="82"/>
      <c r="R148" s="83"/>
      <c r="S148" s="51"/>
      <c r="T148" s="2"/>
    </row>
    <row r="149" spans="1:20" s="79" customFormat="1" ht="15" customHeight="1" x14ac:dyDescent="0.25">
      <c r="A149" s="231"/>
      <c r="B149" s="232"/>
      <c r="C149" s="233"/>
      <c r="D149" s="106"/>
      <c r="E149" s="106"/>
      <c r="F149" s="106"/>
      <c r="G149" s="80"/>
      <c r="H149" s="80"/>
      <c r="I149" s="80"/>
      <c r="J149" s="157" t="s">
        <v>47</v>
      </c>
      <c r="K149" s="128">
        <f t="shared" si="8"/>
        <v>521140620.31999999</v>
      </c>
      <c r="L149" s="128">
        <f t="shared" si="8"/>
        <v>361544317.03000003</v>
      </c>
      <c r="M149" s="128">
        <f t="shared" si="8"/>
        <v>0</v>
      </c>
      <c r="N149" s="128">
        <f t="shared" si="8"/>
        <v>143316495.14707625</v>
      </c>
      <c r="O149" s="128">
        <f t="shared" si="8"/>
        <v>78353805.049622864</v>
      </c>
      <c r="P149" s="128">
        <f t="shared" si="8"/>
        <v>218227821.88292378</v>
      </c>
      <c r="Q149" s="82"/>
      <c r="R149" s="83"/>
      <c r="S149" s="51"/>
      <c r="T149" s="2"/>
    </row>
    <row r="150" spans="1:20" s="79" customFormat="1" ht="25.5" customHeight="1" x14ac:dyDescent="0.25">
      <c r="A150" s="231"/>
      <c r="B150" s="232"/>
      <c r="C150" s="233"/>
      <c r="D150" s="106"/>
      <c r="E150" s="106"/>
      <c r="F150" s="106"/>
      <c r="G150" s="80"/>
      <c r="H150" s="80"/>
      <c r="I150" s="80"/>
      <c r="J150" s="157" t="s">
        <v>67</v>
      </c>
      <c r="K150" s="128">
        <f t="shared" si="8"/>
        <v>31777311969</v>
      </c>
      <c r="L150" s="128">
        <f t="shared" si="8"/>
        <v>31859249643</v>
      </c>
      <c r="M150" s="128">
        <f t="shared" si="8"/>
        <v>0</v>
      </c>
      <c r="N150" s="128">
        <f t="shared" si="8"/>
        <v>13318630440.231791</v>
      </c>
      <c r="O150" s="128">
        <f t="shared" si="8"/>
        <v>3728665131.7821455</v>
      </c>
      <c r="P150" s="128">
        <f t="shared" si="8"/>
        <v>18540619202.768208</v>
      </c>
      <c r="Q150" s="86"/>
      <c r="R150" s="87"/>
      <c r="S150" s="51"/>
      <c r="T150" s="2"/>
    </row>
    <row r="151" spans="1:20" s="79" customFormat="1" ht="15" customHeight="1" thickBot="1" x14ac:dyDescent="0.3">
      <c r="A151" s="234"/>
      <c r="B151" s="235"/>
      <c r="C151" s="236"/>
      <c r="D151" s="107"/>
      <c r="E151" s="107"/>
      <c r="F151" s="107"/>
      <c r="G151" s="88"/>
      <c r="H151" s="88"/>
      <c r="I151" s="88"/>
      <c r="J151" s="157" t="s">
        <v>57</v>
      </c>
      <c r="K151" s="128">
        <f t="shared" ref="K151:P151" si="9">K55</f>
        <v>24086688</v>
      </c>
      <c r="L151" s="128">
        <f t="shared" si="9"/>
        <v>18384172.012149811</v>
      </c>
      <c r="M151" s="128">
        <f t="shared" si="9"/>
        <v>0</v>
      </c>
      <c r="N151" s="128">
        <f t="shared" si="9"/>
        <v>5292032.3060382511</v>
      </c>
      <c r="O151" s="128">
        <f t="shared" si="9"/>
        <v>3348306.862633937</v>
      </c>
      <c r="P151" s="128">
        <f t="shared" si="9"/>
        <v>13092139.706111558</v>
      </c>
      <c r="Q151" s="86"/>
      <c r="R151" s="87"/>
      <c r="S151" s="51"/>
      <c r="T151" s="2"/>
    </row>
    <row r="152" spans="1:20" ht="51" customHeight="1" thickBot="1" x14ac:dyDescent="0.3">
      <c r="A152" s="158">
        <v>95</v>
      </c>
      <c r="B152" s="159" t="s">
        <v>601</v>
      </c>
      <c r="C152" s="160" t="s">
        <v>250</v>
      </c>
      <c r="D152" s="161" t="s">
        <v>408</v>
      </c>
      <c r="E152" s="161"/>
      <c r="F152" s="161" t="s">
        <v>339</v>
      </c>
      <c r="G152" s="161" t="s">
        <v>399</v>
      </c>
      <c r="H152" s="161"/>
      <c r="I152" s="161" t="s">
        <v>251</v>
      </c>
      <c r="J152" s="160" t="s">
        <v>2</v>
      </c>
      <c r="K152" s="162">
        <f>834800635300+144000000000+32000000000+132000000000+3500000000+14000000000+2900000000+4000000000</f>
        <v>1167200635300</v>
      </c>
      <c r="L152" s="163">
        <f>834798635300+12095027500+14732486250+11774486250+13492000000+25492000000+15482000000+12375860000+12000000000+13000000000+12000000000+15700000000+17856140000+15664000000+17000000000+14500000000+15500000000+26000000000+14900000000+11999274664+16000725336+11696539543.9-117562.5+1914256066+4468226857+1348282597</f>
        <v>1161789822801.3999</v>
      </c>
      <c r="M152" s="164">
        <v>1E-4</v>
      </c>
      <c r="N152" s="163"/>
      <c r="O152" s="163"/>
      <c r="P152" s="165">
        <f>L152-N152</f>
        <v>1161789822801.3999</v>
      </c>
      <c r="Q152" s="166" t="s">
        <v>71</v>
      </c>
      <c r="R152" s="167"/>
      <c r="T152" s="79"/>
    </row>
    <row r="153" spans="1:20" ht="17.25" x14ac:dyDescent="0.3">
      <c r="B153" s="168" t="s">
        <v>2</v>
      </c>
      <c r="C153" s="169"/>
      <c r="J153" s="171"/>
      <c r="K153" s="172"/>
      <c r="L153" s="172"/>
      <c r="P153" s="174"/>
      <c r="Q153" s="5"/>
      <c r="R153" s="5"/>
    </row>
    <row r="154" spans="1:20" ht="17.25" x14ac:dyDescent="0.3">
      <c r="B154" s="168" t="s">
        <v>47</v>
      </c>
      <c r="C154" s="169">
        <v>384.32</v>
      </c>
      <c r="K154" s="172"/>
      <c r="L154" s="175"/>
      <c r="M154" s="176"/>
      <c r="O154" s="172"/>
      <c r="P154" s="177"/>
      <c r="Q154" s="178"/>
      <c r="R154" s="178"/>
    </row>
    <row r="155" spans="1:20" ht="17.25" x14ac:dyDescent="0.3">
      <c r="B155" s="168" t="s">
        <v>67</v>
      </c>
      <c r="C155" s="179">
        <v>2.6598000000000002</v>
      </c>
      <c r="L155" s="172"/>
      <c r="O155" s="172"/>
      <c r="P155" s="180"/>
      <c r="Q155" s="181"/>
      <c r="R155" s="181"/>
    </row>
    <row r="156" spans="1:20" ht="17.25" x14ac:dyDescent="0.3">
      <c r="B156" s="168" t="s">
        <v>25</v>
      </c>
      <c r="C156" s="169">
        <v>450.23</v>
      </c>
      <c r="L156" s="175"/>
      <c r="O156" s="172"/>
      <c r="P156" s="175"/>
      <c r="Q156" s="181"/>
      <c r="R156" s="181"/>
    </row>
    <row r="157" spans="1:20" ht="17.25" x14ac:dyDescent="0.3">
      <c r="B157" s="168" t="s">
        <v>57</v>
      </c>
      <c r="C157" s="169">
        <v>527.94000000000005</v>
      </c>
      <c r="O157" s="5"/>
      <c r="P157" s="172"/>
      <c r="Q157" s="2"/>
      <c r="R157" s="2"/>
    </row>
    <row r="158" spans="1:20" x14ac:dyDescent="0.25">
      <c r="Q158" s="2"/>
      <c r="R158" s="2"/>
    </row>
    <row r="159" spans="1:20" x14ac:dyDescent="0.25">
      <c r="P159" s="180"/>
    </row>
    <row r="160" spans="1:20" x14ac:dyDescent="0.25">
      <c r="L160" s="180"/>
      <c r="O160" s="172"/>
      <c r="P160" s="180"/>
    </row>
    <row r="161" spans="3:16" x14ac:dyDescent="0.25">
      <c r="C161" s="5"/>
      <c r="D161" s="5"/>
      <c r="E161" s="5"/>
      <c r="F161" s="6"/>
      <c r="G161" s="5"/>
      <c r="P161" s="172"/>
    </row>
    <row r="162" spans="3:16" x14ac:dyDescent="0.25">
      <c r="C162" s="5"/>
      <c r="D162" s="5"/>
      <c r="E162" s="5"/>
      <c r="F162" s="6"/>
      <c r="G162" s="5"/>
    </row>
    <row r="163" spans="3:16" x14ac:dyDescent="0.25">
      <c r="C163" s="5"/>
      <c r="D163" s="5"/>
      <c r="E163" s="5"/>
      <c r="F163" s="6"/>
      <c r="G163" s="5"/>
    </row>
  </sheetData>
  <sheetProtection formatCells="0" formatColumns="0" formatRows="0"/>
  <protectedRanges>
    <protectedRange password="C670" sqref="F84 A69:R72 A85:G89 A90:E96 F95:H96 F90:G94 A78:K81 I85:P96 L78:R81 Q85:R96" name="Maria"/>
    <protectedRange algorithmName="SHA-512" hashValue="R0m7mG/o0t2+7dbQTzM5iQkFX2amgAS+iAGJudQnnweh07e6LDAbSuhvcwbzcp7drP+HIG4d/wHfMCXiBXmkow==" saltValue="hXh6Ce3lteSj/cvmR3BSBw==" spinCount="100000" sqref="Q152:R152 Q122:R142 C152:G152 A103:E105 I103:O105 F105:H105 F103:G104 I122:O142 I152:O152 A152 A122:G142 Q103:R105" name="Narine"/>
    <protectedRange algorithmName="SHA-512" hashValue="vw/tfZfxCvSE0U6Hm2G3C/Aj3bUp3KdD+IHhHinfC+crRPhv3Uapv1zQ/dMQFE5wwqt30lhFdhsH6enTApEPhg==" saltValue="AJSG7Dc7ySbRZF9wPd6fsA==" spinCount="100000" sqref="Q105:R107 G66:N66 E106 A66:F67 G67:O67 A105:D107 E105:F105 E107:O107 G105:O106 Q66:R67" name="Nara"/>
    <protectedRange algorithmName="SHA-512" hashValue="2hnhy85Hze6pXZTujHMyiGA7lE9yapdzAMEgpTAQUbEvX5wkbgVJAYj8efzABUddHb+HHBXm+QO7FFQ7DdcL0Q==" saltValue="/3Se5MhqYIbXZuII16lL6A==" spinCount="100000" sqref="A112:K117 L112:R117 A77:R77" name="Nona"/>
    <protectedRange algorithmName="SHA-512" hashValue="vw/tfZfxCvSE0U6Hm2G3C/Aj3bUp3KdD+IHhHinfC+crRPhv3Uapv1zQ/dMQFE5wwqt30lhFdhsH6enTApEPhg==" saltValue="AJSG7Dc7ySbRZF9wPd6fsA==" spinCount="100000" sqref="O66" name="Nara_1"/>
    <protectedRange algorithmName="SHA-512" hashValue="R0m7mG/o0t2+7dbQTzM5iQkFX2amgAS+iAGJudQnnweh07e6LDAbSuhvcwbzcp7drP+HIG4d/wHfMCXiBXmkow==" saltValue="hXh6Ce3lteSj/cvmR3BSBw==" spinCount="100000" sqref="B152" name="Narine_1"/>
  </protectedRanges>
  <mergeCells count="154">
    <mergeCell ref="S5:S6"/>
    <mergeCell ref="A9:A10"/>
    <mergeCell ref="C9:C10"/>
    <mergeCell ref="E9:E10"/>
    <mergeCell ref="F9:F10"/>
    <mergeCell ref="H9:H10"/>
    <mergeCell ref="I9:I10"/>
    <mergeCell ref="Q9:Q10"/>
    <mergeCell ref="A1:Q1"/>
    <mergeCell ref="A2:Q2"/>
    <mergeCell ref="A5:A6"/>
    <mergeCell ref="E5:E6"/>
    <mergeCell ref="F5:F6"/>
    <mergeCell ref="H5:H6"/>
    <mergeCell ref="Q11:Q12"/>
    <mergeCell ref="A13:A14"/>
    <mergeCell ref="C13:C14"/>
    <mergeCell ref="E13:E14"/>
    <mergeCell ref="F13:F14"/>
    <mergeCell ref="H13:H14"/>
    <mergeCell ref="I13:I14"/>
    <mergeCell ref="Q13:Q14"/>
    <mergeCell ref="A11:A12"/>
    <mergeCell ref="C11:C12"/>
    <mergeCell ref="E11:E12"/>
    <mergeCell ref="F11:F12"/>
    <mergeCell ref="H11:H12"/>
    <mergeCell ref="I11:I12"/>
    <mergeCell ref="I15:I16"/>
    <mergeCell ref="Q15:Q16"/>
    <mergeCell ref="A17:A18"/>
    <mergeCell ref="C17:C18"/>
    <mergeCell ref="D17:D18"/>
    <mergeCell ref="E17:E18"/>
    <mergeCell ref="F17:F18"/>
    <mergeCell ref="H17:H18"/>
    <mergeCell ref="I17:I18"/>
    <mergeCell ref="A15:A16"/>
    <mergeCell ref="C15:C16"/>
    <mergeCell ref="D15:D16"/>
    <mergeCell ref="E15:E16"/>
    <mergeCell ref="F15:F16"/>
    <mergeCell ref="H15:H16"/>
    <mergeCell ref="A21:A22"/>
    <mergeCell ref="H21:H22"/>
    <mergeCell ref="I21:I22"/>
    <mergeCell ref="Q21:Q22"/>
    <mergeCell ref="Q17:Q18"/>
    <mergeCell ref="A19:A20"/>
    <mergeCell ref="C19:C22"/>
    <mergeCell ref="D19:D22"/>
    <mergeCell ref="E19:E22"/>
    <mergeCell ref="F19:F22"/>
    <mergeCell ref="H19:H20"/>
    <mergeCell ref="I19:I20"/>
    <mergeCell ref="Q19:Q20"/>
    <mergeCell ref="H27:H28"/>
    <mergeCell ref="I27:I28"/>
    <mergeCell ref="Q27:Q28"/>
    <mergeCell ref="Q23:Q24"/>
    <mergeCell ref="A25:A26"/>
    <mergeCell ref="C25:C28"/>
    <mergeCell ref="D25:D28"/>
    <mergeCell ref="E25:E28"/>
    <mergeCell ref="F25:F28"/>
    <mergeCell ref="H25:H26"/>
    <mergeCell ref="I25:I26"/>
    <mergeCell ref="Q25:Q26"/>
    <mergeCell ref="C23:C24"/>
    <mergeCell ref="D23:D24"/>
    <mergeCell ref="E23:E24"/>
    <mergeCell ref="F23:F24"/>
    <mergeCell ref="H23:H24"/>
    <mergeCell ref="I23:I24"/>
    <mergeCell ref="C29:C30"/>
    <mergeCell ref="D29:D30"/>
    <mergeCell ref="E29:E30"/>
    <mergeCell ref="F29:F30"/>
    <mergeCell ref="C31:C32"/>
    <mergeCell ref="D31:D32"/>
    <mergeCell ref="E31:E32"/>
    <mergeCell ref="F31:F32"/>
    <mergeCell ref="A27:A28"/>
    <mergeCell ref="H33:H34"/>
    <mergeCell ref="I33:I34"/>
    <mergeCell ref="A36:A38"/>
    <mergeCell ref="C36:C38"/>
    <mergeCell ref="D36:D38"/>
    <mergeCell ref="E36:E38"/>
    <mergeCell ref="F36:F38"/>
    <mergeCell ref="H36:H38"/>
    <mergeCell ref="A33:A34"/>
    <mergeCell ref="B33:B34"/>
    <mergeCell ref="C33:C34"/>
    <mergeCell ref="D33:D34"/>
    <mergeCell ref="E33:E34"/>
    <mergeCell ref="F33:F34"/>
    <mergeCell ref="C44:C46"/>
    <mergeCell ref="A47:A48"/>
    <mergeCell ref="C47:C48"/>
    <mergeCell ref="E47:E48"/>
    <mergeCell ref="F47:F48"/>
    <mergeCell ref="H47:H48"/>
    <mergeCell ref="Q36:Q38"/>
    <mergeCell ref="B41:B42"/>
    <mergeCell ref="C41:C42"/>
    <mergeCell ref="D41:D42"/>
    <mergeCell ref="E41:E42"/>
    <mergeCell ref="F41:F42"/>
    <mergeCell ref="I57:I58"/>
    <mergeCell ref="Q57:Q58"/>
    <mergeCell ref="A60:A61"/>
    <mergeCell ref="C60:C61"/>
    <mergeCell ref="E60:E61"/>
    <mergeCell ref="Q60:Q61"/>
    <mergeCell ref="I47:I48"/>
    <mergeCell ref="Q47:Q48"/>
    <mergeCell ref="D49:D50"/>
    <mergeCell ref="E49:E50"/>
    <mergeCell ref="F49:F50"/>
    <mergeCell ref="A51:C55"/>
    <mergeCell ref="A62:C65"/>
    <mergeCell ref="A73:C76"/>
    <mergeCell ref="A80:A81"/>
    <mergeCell ref="B80:B81"/>
    <mergeCell ref="C80:C81"/>
    <mergeCell ref="H80:H81"/>
    <mergeCell ref="E57:E58"/>
    <mergeCell ref="F57:F58"/>
    <mergeCell ref="H57:H58"/>
    <mergeCell ref="I80:I81"/>
    <mergeCell ref="Q86:Q88"/>
    <mergeCell ref="A91:A92"/>
    <mergeCell ref="B91:B92"/>
    <mergeCell ref="C91:C92"/>
    <mergeCell ref="D91:D92"/>
    <mergeCell ref="E91:E92"/>
    <mergeCell ref="F91:F92"/>
    <mergeCell ref="H91:H92"/>
    <mergeCell ref="Q91:Q92"/>
    <mergeCell ref="A143:C146"/>
    <mergeCell ref="A147:C151"/>
    <mergeCell ref="H98:H99"/>
    <mergeCell ref="I98:I99"/>
    <mergeCell ref="Q98:Q99"/>
    <mergeCell ref="A108:C111"/>
    <mergeCell ref="C113:C115"/>
    <mergeCell ref="A118:C121"/>
    <mergeCell ref="A98:A99"/>
    <mergeCell ref="B98:B99"/>
    <mergeCell ref="C98:C99"/>
    <mergeCell ref="D98:D99"/>
    <mergeCell ref="E98:E99"/>
    <mergeCell ref="F98:F99"/>
  </mergeCells>
  <conditionalFormatting sqref="L5">
    <cfRule type="cellIs" dxfId="6" priority="7" operator="notEqual">
      <formula>#REF!</formula>
    </cfRule>
  </conditionalFormatting>
  <conditionalFormatting sqref="L100 L6:L35 L37:L40 L47:L49 L43:L45">
    <cfRule type="cellIs" dxfId="5" priority="6" operator="notEqual">
      <formula>#REF!</formula>
    </cfRule>
  </conditionalFormatting>
  <conditionalFormatting sqref="K21">
    <cfRule type="cellIs" dxfId="4" priority="5" operator="notEqual">
      <formula>#REF!</formula>
    </cfRule>
  </conditionalFormatting>
  <conditionalFormatting sqref="L50">
    <cfRule type="cellIs" dxfId="3" priority="4" operator="notEqual">
      <formula>#REF!</formula>
    </cfRule>
  </conditionalFormatting>
  <conditionalFormatting sqref="L83:L84">
    <cfRule type="cellIs" dxfId="2" priority="3" operator="notEqual">
      <formula>#REF!</formula>
    </cfRule>
  </conditionalFormatting>
  <conditionalFormatting sqref="L101:L102">
    <cfRule type="cellIs" dxfId="1" priority="2" operator="notEqual">
      <formula>#REF!</formula>
    </cfRule>
  </conditionalFormatting>
  <conditionalFormatting sqref="K22">
    <cfRule type="cellIs" dxfId="0" priority="1" operator="notEqual">
      <formula>#REF!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բյուջետային երաշխիք</vt:lpstr>
      <vt:lpstr>Government Guarantees</vt:lpstr>
      <vt:lpstr>hուլիս</vt:lpstr>
      <vt:lpstr>հունիս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Susanna Sargsyan</dc:creator>
  <cp:lastModifiedBy>Lusine Grigoryan</cp:lastModifiedBy>
  <cp:lastPrinted>2023-08-01T13:36:12Z</cp:lastPrinted>
  <dcterms:created xsi:type="dcterms:W3CDTF">2021-02-19T11:33:22Z</dcterms:created>
  <dcterms:modified xsi:type="dcterms:W3CDTF">2025-08-08T13:10:09Z</dcterms:modified>
  <cp:keywords>https://mul2-minfin.gov.am/tasks/1044821/oneclick?token=ece2faa32a7d9551b352697aac8f8d2f</cp:keywords>
</cp:coreProperties>
</file>